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95" yWindow="0" windowWidth="19050" windowHeight="11805"/>
  </bookViews>
  <sheets>
    <sheet name="assumptions" sheetId="1" r:id="rId1"/>
    <sheet name="break-even sum" sheetId="2" r:id="rId2"/>
    <sheet name="benefit_cost detail" sheetId="3" r:id="rId3"/>
    <sheet name="payment frequency" sheetId="4" state="hidden" r:id="rId4"/>
    <sheet name="CPI 10-yr" sheetId="7" state="hidden" r:id="rId5"/>
  </sheets>
  <definedNames>
    <definedName name="Z_4F8E946C_576B_4F5C_9A70_E90BD55E70A4_.wvu.PrintArea" localSheetId="0">assumptions!$A$1:$E$27</definedName>
    <definedName name="Z_4F8E946C_576B_4F5C_9A70_E90BD55E70A4_.wvu.PrintArea" localSheetId="2">'benefit_cost detail'!$B$1:$M$36</definedName>
    <definedName name="Z_4F8E946C_576B_4F5C_9A70_E90BD55E70A4_.wvu.PrintArea" localSheetId="1">'break-even sum'!$B$1:$E$30</definedName>
  </definedNames>
  <calcPr calcId="145621"/>
</workbook>
</file>

<file path=xl/calcChain.xml><?xml version="1.0" encoding="utf-8"?>
<calcChain xmlns="http://schemas.openxmlformats.org/spreadsheetml/2006/main">
  <c r="B15" i="1" l="1"/>
  <c r="A23" i="2" l="1"/>
  <c r="A24" i="2"/>
  <c r="A25" i="2"/>
  <c r="A26" i="2"/>
  <c r="A27" i="2"/>
  <c r="A28" i="2"/>
  <c r="A29" i="2"/>
  <c r="A30" i="2"/>
  <c r="A31" i="2"/>
  <c r="A22" i="2"/>
  <c r="A13" i="2"/>
  <c r="A14" i="2"/>
  <c r="A15" i="2"/>
  <c r="A16" i="2"/>
  <c r="A17" i="2"/>
  <c r="A18" i="2"/>
  <c r="A19" i="2"/>
  <c r="A20" i="2"/>
  <c r="A21" i="2"/>
  <c r="A12" i="2"/>
  <c r="A3" i="2"/>
  <c r="A4" i="2"/>
  <c r="A5" i="2"/>
  <c r="A6" i="2"/>
  <c r="A7" i="2"/>
  <c r="A8" i="2"/>
  <c r="A9" i="2"/>
  <c r="A10" i="2"/>
  <c r="A11" i="2"/>
  <c r="A2" i="2"/>
  <c r="D1" i="2"/>
  <c r="C1" i="2"/>
  <c r="B4" i="3"/>
  <c r="B5" i="3" s="1"/>
  <c r="D37" i="3"/>
  <c r="O24" i="7"/>
  <c r="N24" i="7"/>
  <c r="B3" i="2" l="1"/>
  <c r="B6" i="3"/>
  <c r="B2" i="2"/>
  <c r="B7" i="3" l="1"/>
  <c r="B4" i="2"/>
  <c r="B8" i="3" l="1"/>
  <c r="B5" i="2"/>
  <c r="J35" i="3"/>
  <c r="J34" i="3"/>
  <c r="J33" i="3"/>
  <c r="J32" i="3"/>
  <c r="J31" i="3"/>
  <c r="F5" i="3"/>
  <c r="F6" i="3" s="1"/>
  <c r="F7" i="3" s="1"/>
  <c r="F8" i="3" s="1"/>
  <c r="F9" i="3" s="1"/>
  <c r="F10" i="3" s="1"/>
  <c r="F11" i="3" s="1"/>
  <c r="F12" i="3" s="1"/>
  <c r="F13" i="3" s="1"/>
  <c r="F15" i="3" s="1"/>
  <c r="F16" i="3" s="1"/>
  <c r="F17" i="3" s="1"/>
  <c r="F18" i="3" s="1"/>
  <c r="F19" i="3" s="1"/>
  <c r="F20" i="3" s="1"/>
  <c r="F21" i="3" s="1"/>
  <c r="F22" i="3" s="1"/>
  <c r="F23" i="3" s="1"/>
  <c r="F24" i="3" s="1"/>
  <c r="F26" i="3" s="1"/>
  <c r="F27" i="3" s="1"/>
  <c r="F28" i="3" s="1"/>
  <c r="F29" i="3" s="1"/>
  <c r="F30" i="3" s="1"/>
  <c r="F31" i="3" s="1"/>
  <c r="F32" i="3" s="1"/>
  <c r="F33" i="3" s="1"/>
  <c r="F34" i="3" s="1"/>
  <c r="F35" i="3" s="1"/>
  <c r="K4" i="3"/>
  <c r="E4" i="3"/>
  <c r="D4" i="3"/>
  <c r="D5" i="3" s="1"/>
  <c r="I1" i="2"/>
  <c r="B19" i="1"/>
  <c r="B20" i="1" s="1"/>
  <c r="B21" i="1" s="1"/>
  <c r="B9" i="3" l="1"/>
  <c r="B6" i="2"/>
  <c r="E5" i="3"/>
  <c r="K5" i="3" s="1"/>
  <c r="J27" i="3"/>
  <c r="J24" i="3"/>
  <c r="J20" i="3"/>
  <c r="J16" i="3"/>
  <c r="J13" i="3"/>
  <c r="J9" i="3"/>
  <c r="J5" i="3"/>
  <c r="J30" i="3"/>
  <c r="J26" i="3"/>
  <c r="J23" i="3"/>
  <c r="J19" i="3"/>
  <c r="J15" i="3"/>
  <c r="J12" i="3"/>
  <c r="J8" i="3"/>
  <c r="J4" i="3"/>
  <c r="J29" i="3"/>
  <c r="J22" i="3"/>
  <c r="J18" i="3"/>
  <c r="J11" i="3"/>
  <c r="J7" i="3"/>
  <c r="J28" i="3"/>
  <c r="J21" i="3"/>
  <c r="J17" i="3"/>
  <c r="J10" i="3"/>
  <c r="J6" i="3"/>
  <c r="D6" i="3"/>
  <c r="H5" i="3"/>
  <c r="E6" i="3"/>
  <c r="H4" i="3"/>
  <c r="M4" i="3" l="1"/>
  <c r="P4" i="3" s="1"/>
  <c r="C2" i="2" s="1"/>
  <c r="B10" i="3"/>
  <c r="B7" i="2"/>
  <c r="H6" i="3"/>
  <c r="D7" i="3"/>
  <c r="E7" i="3"/>
  <c r="K6" i="3"/>
  <c r="M6" i="3" s="1"/>
  <c r="M5" i="3"/>
  <c r="R4" i="3" l="1"/>
  <c r="D2" i="2" s="1"/>
  <c r="B11" i="3"/>
  <c r="B8" i="2"/>
  <c r="P6" i="3"/>
  <c r="C4" i="2" s="1"/>
  <c r="P5" i="3"/>
  <c r="C3" i="2" s="1"/>
  <c r="H7" i="3"/>
  <c r="D8" i="3"/>
  <c r="E8" i="3"/>
  <c r="K7" i="3"/>
  <c r="M7" i="3" s="1"/>
  <c r="B12" i="3" l="1"/>
  <c r="B9" i="2"/>
  <c r="R6" i="3"/>
  <c r="D4" i="2" s="1"/>
  <c r="R5" i="3"/>
  <c r="D3" i="2" s="1"/>
  <c r="P7" i="3"/>
  <c r="D9" i="3"/>
  <c r="H8" i="3"/>
  <c r="E9" i="3"/>
  <c r="K8" i="3"/>
  <c r="M8" i="3" s="1"/>
  <c r="R7" i="3" l="1"/>
  <c r="D5" i="2" s="1"/>
  <c r="C5" i="2"/>
  <c r="B13" i="3"/>
  <c r="B10" i="2"/>
  <c r="P8" i="3"/>
  <c r="C6" i="2" s="1"/>
  <c r="E10" i="3"/>
  <c r="K9" i="3"/>
  <c r="M9" i="3" s="1"/>
  <c r="D10" i="3"/>
  <c r="H9" i="3"/>
  <c r="B11" i="2" l="1"/>
  <c r="B15" i="3"/>
  <c r="R8" i="3"/>
  <c r="D6" i="2" s="1"/>
  <c r="P9" i="3"/>
  <c r="C7" i="2" s="1"/>
  <c r="E11" i="3"/>
  <c r="K10" i="3"/>
  <c r="M10" i="3" s="1"/>
  <c r="H10" i="3"/>
  <c r="D11" i="3"/>
  <c r="B12" i="2" l="1"/>
  <c r="B16" i="3"/>
  <c r="R9" i="3"/>
  <c r="D7" i="2" s="1"/>
  <c r="P10" i="3"/>
  <c r="C8" i="2" s="1"/>
  <c r="H11" i="3"/>
  <c r="D12" i="3"/>
  <c r="E12" i="3"/>
  <c r="K11" i="3"/>
  <c r="M11" i="3" s="1"/>
  <c r="B17" i="3" l="1"/>
  <c r="B13" i="2"/>
  <c r="R10" i="3"/>
  <c r="D8" i="2" s="1"/>
  <c r="P11" i="3"/>
  <c r="C9" i="2" s="1"/>
  <c r="E13" i="3"/>
  <c r="K12" i="3"/>
  <c r="M12" i="3" s="1"/>
  <c r="D13" i="3"/>
  <c r="H12" i="3"/>
  <c r="B18" i="3" l="1"/>
  <c r="B14" i="2"/>
  <c r="R11" i="3"/>
  <c r="D9" i="2" s="1"/>
  <c r="P12" i="3"/>
  <c r="D15" i="3"/>
  <c r="H13" i="3"/>
  <c r="E15" i="3"/>
  <c r="K13" i="3"/>
  <c r="M13" i="3" s="1"/>
  <c r="R12" i="3" l="1"/>
  <c r="D10" i="2" s="1"/>
  <c r="C10" i="2"/>
  <c r="B19" i="3"/>
  <c r="B15" i="2"/>
  <c r="P13" i="3"/>
  <c r="C11" i="2" s="1"/>
  <c r="E16" i="3"/>
  <c r="K15" i="3"/>
  <c r="M15" i="3" s="1"/>
  <c r="D16" i="3"/>
  <c r="H15" i="3"/>
  <c r="R13" i="3" l="1"/>
  <c r="D11" i="2" s="1"/>
  <c r="B4" i="1" s="1"/>
  <c r="B20" i="3"/>
  <c r="B16" i="2"/>
  <c r="P15" i="3"/>
  <c r="E17" i="3"/>
  <c r="K16" i="3"/>
  <c r="M16" i="3" s="1"/>
  <c r="D17" i="3"/>
  <c r="H16" i="3"/>
  <c r="R15" i="3" l="1"/>
  <c r="D12" i="2" s="1"/>
  <c r="C12" i="2"/>
  <c r="B21" i="3"/>
  <c r="B17" i="2"/>
  <c r="P16" i="3"/>
  <c r="H17" i="3"/>
  <c r="D18" i="3"/>
  <c r="E18" i="3"/>
  <c r="K17" i="3"/>
  <c r="M17" i="3" s="1"/>
  <c r="R16" i="3" l="1"/>
  <c r="D13" i="2" s="1"/>
  <c r="C13" i="2"/>
  <c r="B22" i="3"/>
  <c r="B18" i="2"/>
  <c r="P17" i="3"/>
  <c r="E19" i="3"/>
  <c r="K18" i="3"/>
  <c r="M18" i="3" s="1"/>
  <c r="H18" i="3"/>
  <c r="D19" i="3"/>
  <c r="R17" i="3" l="1"/>
  <c r="D14" i="2" s="1"/>
  <c r="C14" i="2"/>
  <c r="B23" i="3"/>
  <c r="B19" i="2"/>
  <c r="P18" i="3"/>
  <c r="D20" i="3"/>
  <c r="H19" i="3"/>
  <c r="E20" i="3"/>
  <c r="K19" i="3"/>
  <c r="M19" i="3" s="1"/>
  <c r="R18" i="3" l="1"/>
  <c r="D15" i="2" s="1"/>
  <c r="C15" i="2"/>
  <c r="B24" i="3"/>
  <c r="B20" i="2"/>
  <c r="P19" i="3"/>
  <c r="D21" i="3"/>
  <c r="H20" i="3"/>
  <c r="E21" i="3"/>
  <c r="K20" i="3"/>
  <c r="M20" i="3" s="1"/>
  <c r="R19" i="3" l="1"/>
  <c r="D16" i="2" s="1"/>
  <c r="C16" i="2"/>
  <c r="B26" i="3"/>
  <c r="B21" i="2"/>
  <c r="P20" i="3"/>
  <c r="E22" i="3"/>
  <c r="K21" i="3"/>
  <c r="M21" i="3" s="1"/>
  <c r="H21" i="3"/>
  <c r="D22" i="3"/>
  <c r="P21" i="3" l="1"/>
  <c r="R20" i="3"/>
  <c r="D17" i="2" s="1"/>
  <c r="C17" i="2"/>
  <c r="B22" i="2"/>
  <c r="B27" i="3"/>
  <c r="E23" i="3"/>
  <c r="K22" i="3"/>
  <c r="M22" i="3" s="1"/>
  <c r="H22" i="3"/>
  <c r="D23" i="3"/>
  <c r="R21" i="3" l="1"/>
  <c r="D18" i="2" s="1"/>
  <c r="C18" i="2"/>
  <c r="B23" i="2"/>
  <c r="B28" i="3"/>
  <c r="P22" i="3"/>
  <c r="E24" i="3"/>
  <c r="K23" i="3"/>
  <c r="M23" i="3" s="1"/>
  <c r="D24" i="3"/>
  <c r="H23" i="3"/>
  <c r="R22" i="3" l="1"/>
  <c r="D19" i="2" s="1"/>
  <c r="C19" i="2"/>
  <c r="B24" i="2"/>
  <c r="B29" i="3"/>
  <c r="P23" i="3"/>
  <c r="D26" i="3"/>
  <c r="H24" i="3"/>
  <c r="E26" i="3"/>
  <c r="K24" i="3"/>
  <c r="M24" i="3" s="1"/>
  <c r="R23" i="3" l="1"/>
  <c r="D20" i="2" s="1"/>
  <c r="C20" i="2"/>
  <c r="B30" i="3"/>
  <c r="B25" i="2"/>
  <c r="P24" i="3"/>
  <c r="E27" i="3"/>
  <c r="K26" i="3"/>
  <c r="M26" i="3" s="1"/>
  <c r="D27" i="3"/>
  <c r="H26" i="3"/>
  <c r="R24" i="3" l="1"/>
  <c r="D21" i="2" s="1"/>
  <c r="C4" i="1" s="1"/>
  <c r="C21" i="2"/>
  <c r="B31" i="3"/>
  <c r="B26" i="2"/>
  <c r="P26" i="3"/>
  <c r="E28" i="3"/>
  <c r="K27" i="3"/>
  <c r="M27" i="3" s="1"/>
  <c r="D28" i="3"/>
  <c r="H27" i="3"/>
  <c r="R26" i="3" l="1"/>
  <c r="D22" i="2" s="1"/>
  <c r="C22" i="2"/>
  <c r="B32" i="3"/>
  <c r="B27" i="2"/>
  <c r="P27" i="3"/>
  <c r="H28" i="3"/>
  <c r="D29" i="3"/>
  <c r="E29" i="3"/>
  <c r="K28" i="3"/>
  <c r="M28" i="3" s="1"/>
  <c r="R27" i="3" l="1"/>
  <c r="D23" i="2" s="1"/>
  <c r="C23" i="2"/>
  <c r="B33" i="3"/>
  <c r="B28" i="2"/>
  <c r="P28" i="3"/>
  <c r="H29" i="3"/>
  <c r="D30" i="3"/>
  <c r="E30" i="3"/>
  <c r="K29" i="3"/>
  <c r="M29" i="3" s="1"/>
  <c r="R28" i="3" l="1"/>
  <c r="D24" i="2" s="1"/>
  <c r="C24" i="2"/>
  <c r="B34" i="3"/>
  <c r="B29" i="2"/>
  <c r="P29" i="3"/>
  <c r="E31" i="3"/>
  <c r="K30" i="3"/>
  <c r="M30" i="3" s="1"/>
  <c r="D31" i="3"/>
  <c r="H30" i="3"/>
  <c r="R29" i="3" l="1"/>
  <c r="D25" i="2" s="1"/>
  <c r="C25" i="2"/>
  <c r="B35" i="3"/>
  <c r="B31" i="2" s="1"/>
  <c r="B30" i="2"/>
  <c r="P30" i="3"/>
  <c r="D32" i="3"/>
  <c r="H31" i="3"/>
  <c r="E32" i="3"/>
  <c r="K31" i="3"/>
  <c r="M31" i="3" s="1"/>
  <c r="R30" i="3" l="1"/>
  <c r="D26" i="2" s="1"/>
  <c r="C26" i="2"/>
  <c r="P31" i="3"/>
  <c r="H32" i="3"/>
  <c r="D33" i="3"/>
  <c r="E33" i="3"/>
  <c r="K32" i="3"/>
  <c r="M32" i="3" s="1"/>
  <c r="R31" i="3" l="1"/>
  <c r="D27" i="2" s="1"/>
  <c r="C27" i="2"/>
  <c r="P32" i="3"/>
  <c r="H33" i="3"/>
  <c r="D34" i="3"/>
  <c r="E34" i="3"/>
  <c r="K33" i="3"/>
  <c r="M33" i="3" s="1"/>
  <c r="R32" i="3" l="1"/>
  <c r="D28" i="2" s="1"/>
  <c r="C28" i="2"/>
  <c r="P33" i="3"/>
  <c r="E35" i="3"/>
  <c r="K35" i="3" s="1"/>
  <c r="M35" i="3" s="1"/>
  <c r="K34" i="3"/>
  <c r="M34" i="3" s="1"/>
  <c r="D35" i="3"/>
  <c r="H35" i="3" s="1"/>
  <c r="H34" i="3"/>
  <c r="R33" i="3" l="1"/>
  <c r="D29" i="2" s="1"/>
  <c r="C29" i="2"/>
  <c r="P34" i="3"/>
  <c r="P35" i="3"/>
  <c r="C31" i="2" s="1"/>
  <c r="R34" i="3" l="1"/>
  <c r="D30" i="2" s="1"/>
  <c r="C30" i="2"/>
  <c r="R35" i="3"/>
  <c r="D31" i="2" s="1"/>
  <c r="D4" i="1" l="1"/>
  <c r="I2" i="2"/>
  <c r="B1" i="1" s="1"/>
</calcChain>
</file>

<file path=xl/sharedStrings.xml><?xml version="1.0" encoding="utf-8"?>
<sst xmlns="http://schemas.openxmlformats.org/spreadsheetml/2006/main" count="95" uniqueCount="91">
  <si>
    <t>monthly</t>
  </si>
  <si>
    <t>BENEFITS</t>
  </si>
  <si>
    <t>bi-weekly</t>
  </si>
  <si>
    <t>weekly</t>
  </si>
  <si>
    <t>yearly</t>
  </si>
  <si>
    <t xml:space="preserve">Enter the values for the cells highlighted in green or blue. Everything is locked so you don't have to worry about accidentally breaking any of the calculations. However, if you want to be able to correct mistakes, the password is ADU. All caps. This spreadsheet is supposed to calculate data based on the user's inputs and assumptions. The results are not guaranteed.  </t>
  </si>
  <si>
    <t>COSTS</t>
  </si>
  <si>
    <t>YEAR</t>
  </si>
  <si>
    <t>Rent Income</t>
  </si>
  <si>
    <t>Estimated ADU value</t>
  </si>
  <si>
    <t>Appreciation on ADU structure</t>
  </si>
  <si>
    <t>TOTAL BENEFITS ANNUALLY</t>
  </si>
  <si>
    <t>Down Payment &amp; Loan Payment</t>
  </si>
  <si>
    <t>ADU Property Taxes</t>
  </si>
  <si>
    <t>TOTAL COSTS ANNUALLY</t>
  </si>
  <si>
    <t xml:space="preserve">ASSUMPTIONS AND OUTPUT </t>
  </si>
  <si>
    <t>Base Year</t>
  </si>
  <si>
    <t>Loan payments are made at the same time rent income is collected with no gaps</t>
  </si>
  <si>
    <t>Loan paymnets start during the first month of the loan</t>
  </si>
  <si>
    <t>This calculator does not include utilities</t>
  </si>
  <si>
    <t xml:space="preserve">Examples of factors NOT included: rebates, maintenance costs, insurance, time discount rate, existing mortgage. </t>
  </si>
  <si>
    <t xml:space="preserve">SUGGESTED SOURCES  </t>
  </si>
  <si>
    <t>Total design, build, and permitting costs</t>
  </si>
  <si>
    <t>enter based on your budget/estimate</t>
  </si>
  <si>
    <t>loan downpayment, or cash paid</t>
  </si>
  <si>
    <t>most contruction loans require 20% down</t>
  </si>
  <si>
    <t xml:space="preserve">Total financed </t>
  </si>
  <si>
    <t>Loan term in years</t>
  </si>
  <si>
    <t>Enter based on your loan terms.  This cell is ignored if you're not financing.</t>
  </si>
  <si>
    <t>Enter your loan APR.  This cell is ignored if you're not financing</t>
  </si>
  <si>
    <t>Payment frequency</t>
  </si>
  <si>
    <t>Choose an option from drop down list.  This cell is ignored if you're not financing</t>
  </si>
  <si>
    <t>number of payment periods</t>
  </si>
  <si>
    <t>Source: http://www.experiglot.com/2011/09/21/excel-mortgage-calculator/</t>
  </si>
  <si>
    <t>effective rate</t>
  </si>
  <si>
    <t>Payment amount</t>
  </si>
  <si>
    <t>Source:http://www.experiglot.com/2011/09/21/excel-mortgage-calculator/</t>
  </si>
  <si>
    <t>Enter based on your appraisal estimate. Or, in leiu of this, enter the cost of construction.</t>
  </si>
  <si>
    <t xml:space="preserve">Property Tax added, due to ADU </t>
  </si>
  <si>
    <t>Suggested rate. Research your local tax rates.</t>
  </si>
  <si>
    <t>Property Appreciation Rate</t>
  </si>
  <si>
    <t>Suggested rate. Research your local real estate market</t>
  </si>
  <si>
    <t>Monthly rental income gained from having ADU (can be from main structure as long as the benefit is gained because of the addition of the ADU)</t>
  </si>
  <si>
    <t>Estimate from sources such as apartmentratings.com or craigslist.org</t>
  </si>
  <si>
    <t>Rent Infation Rate</t>
  </si>
  <si>
    <t>Starting value of ADU</t>
  </si>
  <si>
    <t>Home Equity Loan, 25-year fixed</t>
  </si>
  <si>
    <t>Consumer Price Index - All Urban Consumers</t>
  </si>
  <si>
    <t>Original Data Value</t>
  </si>
  <si>
    <t>Series Id:</t>
  </si>
  <si>
    <t>CUUSA422SA0</t>
  </si>
  <si>
    <t>Not Seasonally Adjusted</t>
  </si>
  <si>
    <t>Area:</t>
  </si>
  <si>
    <t>San Francisco-Oakland-San Jose, CA</t>
  </si>
  <si>
    <t>Item:</t>
  </si>
  <si>
    <t>All items</t>
  </si>
  <si>
    <t>Base Period:</t>
  </si>
  <si>
    <t>1982-84=100</t>
  </si>
  <si>
    <t>Years:</t>
  </si>
  <si>
    <t>2005 to 2015</t>
  </si>
  <si>
    <t>Year</t>
  </si>
  <si>
    <t>Jan</t>
  </si>
  <si>
    <t>Feb</t>
  </si>
  <si>
    <t>Mar</t>
  </si>
  <si>
    <t>Apr</t>
  </si>
  <si>
    <t>May</t>
  </si>
  <si>
    <t>Jun</t>
  </si>
  <si>
    <t>Jul</t>
  </si>
  <si>
    <t>Aug</t>
  </si>
  <si>
    <t>Sep</t>
  </si>
  <si>
    <t>Oct</t>
  </si>
  <si>
    <t>Nov</t>
  </si>
  <si>
    <t>Dec</t>
  </si>
  <si>
    <t>Annual</t>
  </si>
  <si>
    <t>HALF1</t>
  </si>
  <si>
    <t>HALF2</t>
  </si>
  <si>
    <t xml:space="preserve">10-year average rate of CPI increase: </t>
  </si>
  <si>
    <t>Discount rate for NPV:</t>
  </si>
  <si>
    <t>note: equal to 2005-2015 average CPI increase for San Francisco-Oakland-San Jose CSA</t>
  </si>
  <si>
    <t>ANNUAL NET VALUE (NOMINAL)</t>
  </si>
  <si>
    <t>CUMULATIVE NET VALUE (NPV)</t>
  </si>
  <si>
    <t>NET VALUE</t>
  </si>
  <si>
    <t>TOTAL Cost (not including loan interest):</t>
  </si>
  <si>
    <t>Number of years to break even:</t>
  </si>
  <si>
    <t>NPV of Net Benefits (Cumulative)</t>
  </si>
  <si>
    <t>Number of Years to break even 
(refers to Payback Period, or years to recover principal investment; does not refer to payoff of mortgage)</t>
  </si>
  <si>
    <t>YEAR 10 Cummulative.</t>
  </si>
  <si>
    <t xml:space="preserve">YEAR 20 </t>
  </si>
  <si>
    <t>YEAR 30</t>
  </si>
  <si>
    <t xml:space="preserve">Suggested rate. Research your own market rates. Note that for units subject to Rent Stabilization annual rent increases are limited and connected to Consumer Price Index. </t>
  </si>
  <si>
    <t>Time Horizon in Cumulative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</si>
</sst>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
    <numFmt numFmtId="167" formatCode="#0.000"/>
    <numFmt numFmtId="168" formatCode="&quot;Year&quot;\ 0"/>
    <numFmt numFmtId="169" formatCode="_(&quot;$&quot;* #,##0_);_(&quot;$&quot;* \(#,##0\);_(&quot;$&quot;* &quot;-&quot;??_);_(@_)"/>
    <numFmt numFmtId="170" formatCode="&quot;$&quot;#,##0"/>
  </numFmts>
  <fonts count="23" x14ac:knownFonts="1">
    <font>
      <sz val="11"/>
      <color rgb="FF000000"/>
      <name val="Calibri"/>
    </font>
    <font>
      <b/>
      <sz val="12"/>
      <color rgb="FF000000"/>
      <name val="Times New Roman"/>
      <family val="1"/>
    </font>
    <font>
      <b/>
      <sz val="14"/>
      <color rgb="FF000000"/>
      <name val="Calibri"/>
      <family val="2"/>
    </font>
    <font>
      <sz val="11"/>
      <name val="Calibri"/>
      <family val="2"/>
    </font>
    <font>
      <b/>
      <sz val="11"/>
      <color rgb="FF000000"/>
      <name val="Calibri"/>
      <family val="2"/>
    </font>
    <font>
      <sz val="12"/>
      <color rgb="FFFF0000"/>
      <name val="Times New Roman"/>
      <family val="1"/>
    </font>
    <font>
      <sz val="12"/>
      <color rgb="FF000000"/>
      <name val="Times New Roman"/>
      <family val="1"/>
    </font>
    <font>
      <sz val="12"/>
      <name val="Times New Roman"/>
      <family val="1"/>
    </font>
    <font>
      <b/>
      <sz val="12"/>
      <name val="Times New Roman"/>
      <family val="1"/>
    </font>
    <font>
      <b/>
      <sz val="12"/>
      <color rgb="FF000000"/>
      <name val="Calibri"/>
      <family val="2"/>
    </font>
    <font>
      <sz val="11"/>
      <name val="Calibri"/>
      <family val="2"/>
    </font>
    <font>
      <sz val="11"/>
      <color rgb="FFFF0000"/>
      <name val="Calibri"/>
      <family val="2"/>
    </font>
    <font>
      <sz val="11"/>
      <color rgb="FF000000"/>
      <name val="Calibri"/>
      <family val="2"/>
    </font>
    <font>
      <i/>
      <sz val="11"/>
      <color rgb="FF000000"/>
      <name val="Calibri"/>
      <family val="2"/>
    </font>
    <font>
      <b/>
      <sz val="11"/>
      <color rgb="FF000000"/>
      <name val="Calibri"/>
      <family val="2"/>
    </font>
    <font>
      <sz val="12"/>
      <color rgb="FFFF0000"/>
      <name val="Times New Roman"/>
      <family val="1"/>
    </font>
    <font>
      <sz val="11"/>
      <color indexed="8"/>
      <name val="Calibri"/>
      <family val="2"/>
      <scheme val="minor"/>
    </font>
    <font>
      <b/>
      <sz val="12"/>
      <color indexed="8"/>
      <name val="Arial"/>
      <family val="2"/>
    </font>
    <font>
      <b/>
      <sz val="10"/>
      <color indexed="8"/>
      <name val="Arial"/>
      <family val="2"/>
    </font>
    <font>
      <sz val="10"/>
      <color indexed="8"/>
      <name val="Arial"/>
      <family val="2"/>
    </font>
    <font>
      <b/>
      <sz val="11"/>
      <color indexed="8"/>
      <name val="Calibri"/>
      <family val="2"/>
      <scheme val="minor"/>
    </font>
    <font>
      <b/>
      <sz val="12"/>
      <color theme="1"/>
      <name val="Times New Roman"/>
      <family val="1"/>
    </font>
    <font>
      <sz val="12"/>
      <color theme="1"/>
      <name val="Times New Roman"/>
      <family val="1"/>
    </font>
  </fonts>
  <fills count="5">
    <fill>
      <patternFill patternType="none"/>
    </fill>
    <fill>
      <patternFill patternType="gray125"/>
    </fill>
    <fill>
      <patternFill patternType="solid">
        <fgColor theme="8" tint="0.59999389629810485"/>
        <bgColor indexed="64"/>
      </patternFill>
    </fill>
    <fill>
      <patternFill patternType="solid">
        <fgColor theme="8" tint="0.59999389629810485"/>
        <bgColor rgb="FFCCFFCC"/>
      </patternFill>
    </fill>
    <fill>
      <patternFill patternType="solid">
        <fgColor theme="8" tint="0.59999389629810485"/>
        <bgColor rgb="FFFFFF99"/>
      </patternFill>
    </fill>
  </fills>
  <borders count="4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bottom/>
      <diagonal/>
    </border>
    <border>
      <left style="thin">
        <color indexed="64"/>
      </left>
      <right style="thin">
        <color indexed="64"/>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bottom style="thin">
        <color indexed="64"/>
      </bottom>
      <diagonal/>
    </border>
    <border>
      <left/>
      <right style="thin">
        <color rgb="FF000000"/>
      </right>
      <top style="thin">
        <color rgb="FF000000"/>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6" fillId="0" borderId="0"/>
  </cellStyleXfs>
  <cellXfs count="161">
    <xf numFmtId="0" fontId="0" fillId="0" borderId="0" xfId="0" applyFont="1" applyAlignment="1"/>
    <xf numFmtId="0" fontId="0" fillId="0" borderId="0" xfId="0" applyFont="1"/>
    <xf numFmtId="8" fontId="0" fillId="0" borderId="0" xfId="0" applyNumberFormat="1" applyFont="1"/>
    <xf numFmtId="0" fontId="2" fillId="0" borderId="0" xfId="0" applyFont="1" applyAlignment="1">
      <alignment horizontal="center"/>
    </xf>
    <xf numFmtId="0" fontId="6" fillId="0" borderId="0" xfId="0" applyFont="1" applyAlignment="1">
      <alignment vertical="top" wrapText="1"/>
    </xf>
    <xf numFmtId="0" fontId="1" fillId="0" borderId="0" xfId="0" applyFont="1" applyAlignment="1">
      <alignment vertical="top" wrapText="1"/>
    </xf>
    <xf numFmtId="44" fontId="7" fillId="0" borderId="0" xfId="0" applyNumberFormat="1" applyFont="1" applyAlignment="1">
      <alignment vertical="top" wrapText="1"/>
    </xf>
    <xf numFmtId="0" fontId="4" fillId="0" borderId="0" xfId="0" applyFont="1" applyAlignment="1">
      <alignment vertical="center"/>
    </xf>
    <xf numFmtId="0" fontId="4" fillId="0" borderId="0" xfId="0" applyFont="1"/>
    <xf numFmtId="0" fontId="2" fillId="0" borderId="4" xfId="0" applyFont="1" applyBorder="1" applyAlignment="1">
      <alignment horizontal="center" vertical="center" wrapText="1"/>
    </xf>
    <xf numFmtId="44" fontId="0" fillId="0" borderId="0" xfId="0" applyNumberFormat="1" applyFont="1"/>
    <xf numFmtId="164" fontId="1" fillId="0" borderId="0" xfId="0" applyNumberFormat="1" applyFont="1" applyAlignment="1">
      <alignment horizontal="right" vertical="top" wrapText="1"/>
    </xf>
    <xf numFmtId="44" fontId="8" fillId="0" borderId="0" xfId="0" applyNumberFormat="1" applyFont="1" applyAlignment="1">
      <alignment vertical="top" wrapText="1"/>
    </xf>
    <xf numFmtId="0" fontId="7" fillId="0" borderId="0" xfId="0" applyFont="1" applyAlignment="1">
      <alignment vertical="top" wrapText="1"/>
    </xf>
    <xf numFmtId="0" fontId="0" fillId="0" borderId="0" xfId="0" applyFont="1"/>
    <xf numFmtId="8" fontId="7" fillId="0" borderId="0" xfId="0" applyNumberFormat="1" applyFont="1" applyAlignment="1">
      <alignment vertical="top" wrapText="1"/>
    </xf>
    <xf numFmtId="0" fontId="6" fillId="0" borderId="6" xfId="0" applyFont="1" applyBorder="1" applyAlignment="1">
      <alignmen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0" fillId="0" borderId="0" xfId="0" applyFont="1"/>
    <xf numFmtId="0" fontId="6" fillId="0" borderId="0" xfId="0" applyFont="1" applyAlignment="1">
      <alignment horizontal="left" vertical="top" wrapText="1"/>
    </xf>
    <xf numFmtId="0" fontId="6" fillId="0" borderId="9" xfId="0" applyFont="1" applyBorder="1" applyAlignment="1">
      <alignment vertical="top" wrapText="1"/>
    </xf>
    <xf numFmtId="44" fontId="6" fillId="0" borderId="0" xfId="0" applyNumberFormat="1" applyFont="1" applyAlignment="1">
      <alignment horizontal="right" vertical="top" wrapText="1"/>
    </xf>
    <xf numFmtId="0" fontId="7" fillId="0" borderId="0" xfId="0" applyFont="1" applyAlignment="1">
      <alignment horizontal="left" vertical="top" wrapText="1"/>
    </xf>
    <xf numFmtId="0" fontId="0" fillId="0" borderId="0" xfId="0" applyFont="1" applyAlignment="1">
      <alignment horizontal="right"/>
    </xf>
    <xf numFmtId="0" fontId="0" fillId="0" borderId="0" xfId="0" applyFont="1" applyAlignment="1"/>
    <xf numFmtId="8" fontId="11" fillId="0" borderId="0" xfId="0" applyNumberFormat="1" applyFont="1"/>
    <xf numFmtId="44" fontId="0" fillId="0" borderId="0" xfId="0" applyNumberFormat="1" applyFont="1" applyAlignment="1"/>
    <xf numFmtId="0" fontId="12" fillId="0" borderId="0" xfId="0" applyFont="1" applyAlignment="1"/>
    <xf numFmtId="8" fontId="0" fillId="0" borderId="0" xfId="0" applyNumberFormat="1" applyFont="1" applyAlignment="1"/>
    <xf numFmtId="0" fontId="11" fillId="0" borderId="0" xfId="0" quotePrefix="1" applyFont="1"/>
    <xf numFmtId="0" fontId="14" fillId="0" borderId="0" xfId="0" applyFont="1"/>
    <xf numFmtId="0" fontId="15" fillId="0" borderId="0" xfId="0" applyFont="1" applyAlignment="1">
      <alignment vertical="top"/>
    </xf>
    <xf numFmtId="0" fontId="6" fillId="0" borderId="0" xfId="0" applyFont="1" applyAlignment="1">
      <alignment vertical="top"/>
    </xf>
    <xf numFmtId="0" fontId="6" fillId="0" borderId="0" xfId="0" applyFont="1" applyAlignment="1">
      <alignment horizontal="left" vertical="top"/>
    </xf>
    <xf numFmtId="44" fontId="6"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Alignment="1">
      <alignment vertical="top"/>
    </xf>
    <xf numFmtId="0" fontId="8" fillId="0" borderId="0" xfId="0"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5" fillId="0" borderId="0" xfId="0" applyFont="1" applyFill="1" applyBorder="1" applyAlignment="1">
      <alignment horizontal="left" vertical="top"/>
    </xf>
    <xf numFmtId="0" fontId="16" fillId="0" borderId="0" xfId="1"/>
    <xf numFmtId="0" fontId="18" fillId="0" borderId="0" xfId="1" applyFont="1" applyFill="1" applyAlignment="1">
      <alignment horizontal="left" vertical="top" wrapText="1"/>
    </xf>
    <xf numFmtId="0" fontId="18" fillId="0" borderId="17" xfId="1" applyFont="1" applyFill="1" applyBorder="1" applyAlignment="1">
      <alignment horizontal="center" wrapText="1"/>
    </xf>
    <xf numFmtId="0" fontId="18" fillId="0" borderId="0" xfId="1" applyFont="1" applyFill="1" applyAlignment="1">
      <alignment horizontal="left"/>
    </xf>
    <xf numFmtId="166" fontId="19" fillId="0" borderId="0" xfId="1" applyNumberFormat="1" applyFont="1" applyFill="1" applyAlignment="1">
      <alignment horizontal="right"/>
    </xf>
    <xf numFmtId="167" fontId="19" fillId="0" borderId="0" xfId="1" applyNumberFormat="1" applyFont="1" applyFill="1" applyAlignment="1">
      <alignment horizontal="right"/>
    </xf>
    <xf numFmtId="0" fontId="20" fillId="0" borderId="18" xfId="1" applyFont="1" applyBorder="1"/>
    <xf numFmtId="0" fontId="16" fillId="0" borderId="19" xfId="1" applyBorder="1"/>
    <xf numFmtId="10" fontId="20" fillId="0" borderId="20" xfId="1" applyNumberFormat="1" applyFont="1" applyBorder="1"/>
    <xf numFmtId="10" fontId="16" fillId="0" borderId="0" xfId="1" applyNumberFormat="1"/>
    <xf numFmtId="10" fontId="20" fillId="0" borderId="16" xfId="1" applyNumberFormat="1" applyFont="1" applyBorder="1"/>
    <xf numFmtId="0" fontId="2" fillId="0" borderId="21"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Border="1" applyAlignment="1">
      <alignment horizontal="center" vertical="center" wrapText="1"/>
    </xf>
    <xf numFmtId="0" fontId="11" fillId="0" borderId="0" xfId="0" applyFont="1"/>
    <xf numFmtId="0" fontId="2" fillId="0" borderId="23" xfId="0" applyFont="1" applyBorder="1" applyAlignment="1">
      <alignment horizontal="center" vertical="center" wrapText="1"/>
    </xf>
    <xf numFmtId="0" fontId="0" fillId="0" borderId="0" xfId="0" applyFont="1" applyAlignment="1"/>
    <xf numFmtId="0" fontId="0" fillId="0" borderId="27" xfId="0" applyFont="1" applyBorder="1" applyAlignment="1"/>
    <xf numFmtId="10" fontId="0" fillId="0" borderId="27" xfId="0" applyNumberFormat="1" applyFont="1" applyBorder="1" applyAlignment="1"/>
    <xf numFmtId="0" fontId="12" fillId="0" borderId="26" xfId="0" applyFont="1" applyBorder="1" applyAlignment="1"/>
    <xf numFmtId="0" fontId="0" fillId="0" borderId="28" xfId="0" applyFont="1" applyBorder="1" applyAlignment="1"/>
    <xf numFmtId="0" fontId="13" fillId="0" borderId="29" xfId="0" applyFont="1" applyBorder="1" applyAlignment="1"/>
    <xf numFmtId="0" fontId="0" fillId="0" borderId="30" xfId="0" applyFont="1" applyBorder="1" applyAlignment="1"/>
    <xf numFmtId="0" fontId="0" fillId="0" borderId="31" xfId="0" applyFont="1" applyBorder="1" applyAlignment="1"/>
    <xf numFmtId="0" fontId="2" fillId="0" borderId="32" xfId="0" applyFont="1" applyBorder="1" applyAlignment="1">
      <alignment horizontal="center" vertical="center" wrapText="1"/>
    </xf>
    <xf numFmtId="0" fontId="2" fillId="0" borderId="24" xfId="0" applyFont="1" applyBorder="1" applyAlignment="1">
      <alignment horizontal="center" vertical="center" wrapText="1"/>
    </xf>
    <xf numFmtId="44" fontId="4" fillId="0" borderId="43" xfId="0" applyNumberFormat="1" applyFont="1" applyBorder="1" applyAlignment="1">
      <alignment horizontal="center" vertical="top"/>
    </xf>
    <xf numFmtId="8" fontId="6" fillId="0" borderId="0" xfId="0" applyNumberFormat="1" applyFont="1" applyAlignment="1">
      <alignment horizontal="left" vertical="top" wrapText="1"/>
    </xf>
    <xf numFmtId="37" fontId="4" fillId="0" borderId="43" xfId="0" applyNumberFormat="1" applyFont="1" applyFill="1" applyBorder="1" applyAlignment="1">
      <alignment horizontal="center" vertical="top"/>
    </xf>
    <xf numFmtId="165" fontId="22" fillId="0" borderId="5" xfId="0" applyNumberFormat="1" applyFont="1" applyBorder="1" applyAlignment="1">
      <alignment horizontal="right" vertical="top" wrapText="1"/>
    </xf>
    <xf numFmtId="169" fontId="0" fillId="0" borderId="6" xfId="0" applyNumberFormat="1" applyFont="1" applyBorder="1"/>
    <xf numFmtId="169" fontId="0" fillId="0" borderId="6" xfId="0" applyNumberFormat="1" applyFont="1" applyFill="1" applyBorder="1"/>
    <xf numFmtId="169" fontId="0" fillId="0" borderId="5" xfId="0" applyNumberFormat="1" applyFont="1" applyBorder="1"/>
    <xf numFmtId="169" fontId="10" fillId="0" borderId="5" xfId="0" applyNumberFormat="1" applyFont="1" applyBorder="1"/>
    <xf numFmtId="6" fontId="0" fillId="0" borderId="6" xfId="0" applyNumberFormat="1" applyFont="1" applyBorder="1"/>
    <xf numFmtId="6" fontId="0" fillId="0" borderId="14" xfId="0" applyNumberFormat="1" applyFont="1" applyBorder="1"/>
    <xf numFmtId="6" fontId="0" fillId="0" borderId="23" xfId="0" applyNumberFormat="1" applyFont="1" applyBorder="1"/>
    <xf numFmtId="6" fontId="0" fillId="0" borderId="8" xfId="0" applyNumberFormat="1" applyFont="1" applyBorder="1"/>
    <xf numFmtId="6" fontId="0" fillId="0" borderId="0" xfId="0" applyNumberFormat="1" applyFont="1"/>
    <xf numFmtId="6" fontId="0" fillId="0" borderId="6" xfId="0" applyNumberFormat="1" applyFont="1" applyBorder="1" applyAlignment="1">
      <alignment horizontal="right"/>
    </xf>
    <xf numFmtId="6" fontId="0" fillId="0" borderId="16" xfId="0" applyNumberFormat="1" applyFont="1" applyBorder="1"/>
    <xf numFmtId="6" fontId="12" fillId="0" borderId="16" xfId="0" applyNumberFormat="1" applyFont="1" applyBorder="1" applyAlignment="1"/>
    <xf numFmtId="6" fontId="0" fillId="0" borderId="5" xfId="0" applyNumberFormat="1" applyFont="1" applyBorder="1"/>
    <xf numFmtId="6" fontId="0" fillId="0" borderId="5" xfId="0" applyNumberFormat="1" applyFont="1" applyBorder="1" applyAlignment="1">
      <alignment horizontal="right"/>
    </xf>
    <xf numFmtId="6" fontId="0" fillId="0" borderId="9" xfId="0" applyNumberFormat="1" applyFont="1" applyBorder="1"/>
    <xf numFmtId="6" fontId="0" fillId="0" borderId="7" xfId="0" applyNumberFormat="1" applyFont="1" applyBorder="1"/>
    <xf numFmtId="6" fontId="0" fillId="0" borderId="22" xfId="0" applyNumberFormat="1" applyFont="1" applyBorder="1"/>
    <xf numFmtId="6" fontId="0" fillId="0" borderId="11" xfId="0" applyNumberFormat="1" applyFont="1" applyBorder="1"/>
    <xf numFmtId="6" fontId="0" fillId="0" borderId="24" xfId="0" applyNumberFormat="1" applyFont="1" applyBorder="1"/>
    <xf numFmtId="6" fontId="0" fillId="0" borderId="7" xfId="0" applyNumberFormat="1" applyFont="1" applyBorder="1" applyAlignment="1">
      <alignment horizontal="right"/>
    </xf>
    <xf numFmtId="6" fontId="0" fillId="0" borderId="25" xfId="0" applyNumberFormat="1" applyFont="1" applyBorder="1"/>
    <xf numFmtId="6" fontId="12" fillId="0" borderId="25" xfId="0" applyNumberFormat="1" applyFont="1" applyBorder="1" applyAlignment="1"/>
    <xf numFmtId="6" fontId="0" fillId="0" borderId="0" xfId="0" applyNumberFormat="1" applyFont="1" applyBorder="1"/>
    <xf numFmtId="6" fontId="0" fillId="0" borderId="16" xfId="0" applyNumberFormat="1" applyFont="1" applyBorder="1" applyAlignment="1">
      <alignment horizontal="right"/>
    </xf>
    <xf numFmtId="6" fontId="11" fillId="0" borderId="0" xfId="0" applyNumberFormat="1" applyFont="1"/>
    <xf numFmtId="6" fontId="0" fillId="0" borderId="0" xfId="0" applyNumberFormat="1" applyFont="1" applyAlignment="1">
      <alignment horizontal="right"/>
    </xf>
    <xf numFmtId="6" fontId="0" fillId="0" borderId="0" xfId="0" applyNumberFormat="1" applyFont="1" applyAlignment="1"/>
    <xf numFmtId="6" fontId="0" fillId="0" borderId="10" xfId="0" applyNumberFormat="1" applyFont="1" applyBorder="1"/>
    <xf numFmtId="0" fontId="1" fillId="0" borderId="5" xfId="0" applyFont="1" applyFill="1" applyBorder="1" applyAlignment="1">
      <alignment horizontal="right" vertical="top" wrapText="1"/>
    </xf>
    <xf numFmtId="0" fontId="21" fillId="0" borderId="5" xfId="0" applyFont="1" applyFill="1" applyBorder="1" applyAlignment="1">
      <alignment horizontal="right" vertical="top" wrapText="1"/>
    </xf>
    <xf numFmtId="0" fontId="21" fillId="0" borderId="9" xfId="0" applyFont="1" applyFill="1" applyBorder="1" applyAlignment="1">
      <alignment horizontal="right" vertical="top" wrapText="1"/>
    </xf>
    <xf numFmtId="0" fontId="21" fillId="0" borderId="16" xfId="0" applyFont="1" applyFill="1" applyBorder="1" applyAlignment="1">
      <alignment horizontal="right" vertical="top" wrapText="1"/>
    </xf>
    <xf numFmtId="170" fontId="1" fillId="0" borderId="5" xfId="0" applyNumberFormat="1" applyFont="1" applyFill="1" applyBorder="1" applyAlignment="1">
      <alignment horizontal="right" vertical="top" wrapText="1"/>
    </xf>
    <xf numFmtId="169" fontId="8" fillId="0" borderId="9" xfId="0" applyNumberFormat="1" applyFont="1" applyFill="1" applyBorder="1" applyAlignment="1">
      <alignment horizontal="right" vertical="top" wrapText="1"/>
    </xf>
    <xf numFmtId="169" fontId="8" fillId="0" borderId="16" xfId="0" applyNumberFormat="1" applyFont="1" applyFill="1" applyBorder="1" applyAlignment="1">
      <alignment horizontal="right" vertical="top" wrapText="1"/>
    </xf>
    <xf numFmtId="165" fontId="6" fillId="0" borderId="5" xfId="0" applyNumberFormat="1" applyFont="1" applyFill="1" applyBorder="1" applyAlignment="1">
      <alignment horizontal="right" vertical="top" wrapText="1"/>
    </xf>
    <xf numFmtId="44" fontId="6" fillId="0" borderId="5" xfId="0" applyNumberFormat="1" applyFont="1" applyFill="1" applyBorder="1" applyAlignment="1">
      <alignment horizontal="right" vertical="top" wrapText="1"/>
    </xf>
    <xf numFmtId="44" fontId="7" fillId="0" borderId="5" xfId="0" applyNumberFormat="1" applyFont="1" applyFill="1" applyBorder="1" applyAlignment="1">
      <alignment horizontal="right" vertical="top" wrapText="1"/>
    </xf>
    <xf numFmtId="44" fontId="22" fillId="0" borderId="5" xfId="0" applyNumberFormat="1" applyFont="1" applyFill="1" applyBorder="1" applyAlignment="1">
      <alignment horizontal="right" vertical="top" wrapText="1"/>
    </xf>
    <xf numFmtId="0" fontId="7" fillId="0" borderId="5" xfId="0" applyFont="1" applyFill="1" applyBorder="1" applyAlignment="1">
      <alignment horizontal="right" vertical="top" wrapText="1"/>
    </xf>
    <xf numFmtId="165" fontId="7" fillId="0" borderId="5" xfId="0" applyNumberFormat="1" applyFont="1" applyFill="1" applyBorder="1" applyAlignment="1">
      <alignment horizontal="right" vertical="top" wrapText="1"/>
    </xf>
    <xf numFmtId="1" fontId="6" fillId="0" borderId="5" xfId="0" applyNumberFormat="1" applyFont="1" applyFill="1" applyBorder="1" applyAlignment="1">
      <alignment horizontal="right" vertical="top" shrinkToFit="1"/>
    </xf>
    <xf numFmtId="165" fontId="6" fillId="0" borderId="5" xfId="0" applyNumberFormat="1" applyFont="1" applyFill="1" applyBorder="1" applyAlignment="1">
      <alignment horizontal="right" vertical="top" shrinkToFit="1"/>
    </xf>
    <xf numFmtId="8" fontId="6" fillId="0" borderId="5" xfId="0" applyNumberFormat="1" applyFont="1" applyFill="1" applyBorder="1" applyAlignment="1">
      <alignment horizontal="right" vertical="top" shrinkToFit="1"/>
    </xf>
    <xf numFmtId="37" fontId="1" fillId="2" borderId="44"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168" fontId="0" fillId="2" borderId="16" xfId="0" applyNumberFormat="1" applyFont="1" applyFill="1" applyBorder="1" applyAlignment="1">
      <alignment horizontal="center"/>
    </xf>
    <xf numFmtId="0" fontId="3" fillId="3" borderId="8" xfId="0" applyFont="1" applyFill="1" applyBorder="1" applyAlignment="1">
      <alignment horizontal="center" vertical="center"/>
    </xf>
    <xf numFmtId="0" fontId="0" fillId="3" borderId="10" xfId="0" applyFont="1" applyFill="1" applyBorder="1" applyAlignment="1">
      <alignment horizontal="center" vertical="center"/>
    </xf>
    <xf numFmtId="0" fontId="9" fillId="3" borderId="38" xfId="0" applyFont="1" applyFill="1" applyBorder="1" applyAlignment="1">
      <alignment horizontal="center" vertical="center" wrapText="1"/>
    </xf>
    <xf numFmtId="0" fontId="9" fillId="3" borderId="36" xfId="0" applyFont="1" applyFill="1" applyBorder="1" applyAlignment="1">
      <alignment horizontal="center" vertical="center" wrapText="1"/>
    </xf>
    <xf numFmtId="168" fontId="0" fillId="2" borderId="37" xfId="0" applyNumberFormat="1" applyFont="1" applyFill="1" applyBorder="1" applyAlignment="1">
      <alignment horizontal="center"/>
    </xf>
    <xf numFmtId="0" fontId="0" fillId="3" borderId="8" xfId="0" applyFont="1" applyFill="1" applyBorder="1" applyAlignment="1">
      <alignment horizontal="center" vertical="center"/>
    </xf>
    <xf numFmtId="169" fontId="11" fillId="0" borderId="6" xfId="0" applyNumberFormat="1" applyFont="1" applyFill="1" applyBorder="1"/>
    <xf numFmtId="0" fontId="7" fillId="0" borderId="13" xfId="0" applyFont="1" applyBorder="1" applyAlignment="1">
      <alignment horizontal="left" vertical="top" wrapText="1"/>
    </xf>
    <xf numFmtId="0" fontId="3" fillId="0" borderId="13" xfId="0" applyFont="1" applyBorder="1"/>
    <xf numFmtId="0" fontId="3" fillId="0" borderId="10" xfId="0" applyFont="1" applyBorder="1"/>
    <xf numFmtId="0" fontId="7" fillId="0" borderId="15" xfId="0" applyFont="1" applyBorder="1" applyAlignment="1">
      <alignment horizontal="left" vertical="top" wrapText="1"/>
    </xf>
    <xf numFmtId="0" fontId="3" fillId="0" borderId="15" xfId="0" applyFont="1" applyBorder="1"/>
    <xf numFmtId="0" fontId="3" fillId="0" borderId="8" xfId="0" applyFont="1" applyBorder="1"/>
    <xf numFmtId="0" fontId="7" fillId="0" borderId="13" xfId="0" applyFont="1" applyBorder="1" applyAlignment="1">
      <alignment vertical="top" shrinkToFit="1"/>
    </xf>
    <xf numFmtId="0" fontId="6" fillId="0" borderId="9" xfId="0" applyFont="1" applyBorder="1" applyAlignment="1">
      <alignment horizontal="left" vertical="top" wrapText="1"/>
    </xf>
    <xf numFmtId="44" fontId="1" fillId="4" borderId="1" xfId="0" applyNumberFormat="1" applyFont="1" applyFill="1" applyBorder="1" applyAlignment="1">
      <alignment horizontal="center" vertical="top" wrapText="1"/>
    </xf>
    <xf numFmtId="0" fontId="3" fillId="2" borderId="3" xfId="0" applyFont="1" applyFill="1" applyBorder="1"/>
    <xf numFmtId="0" fontId="5" fillId="0" borderId="0" xfId="0" applyFont="1" applyBorder="1" applyAlignment="1">
      <alignment horizontal="left" vertical="top" wrapText="1"/>
    </xf>
    <xf numFmtId="0" fontId="11" fillId="0" borderId="0" xfId="0" applyFont="1" applyAlignment="1"/>
    <xf numFmtId="44" fontId="8" fillId="4" borderId="1" xfId="0" applyNumberFormat="1" applyFont="1" applyFill="1" applyBorder="1" applyAlignment="1">
      <alignment horizontal="center" vertical="top" wrapText="1"/>
    </xf>
    <xf numFmtId="0" fontId="3" fillId="2" borderId="2" xfId="0" applyFont="1" applyFill="1" applyBorder="1"/>
    <xf numFmtId="0" fontId="6" fillId="4" borderId="11" xfId="0" applyFont="1" applyFill="1" applyBorder="1" applyAlignment="1">
      <alignment horizontal="center" vertical="top" wrapText="1"/>
    </xf>
    <xf numFmtId="0" fontId="3" fillId="2" borderId="12" xfId="0" applyFont="1" applyFill="1" applyBorder="1"/>
    <xf numFmtId="0" fontId="6" fillId="0" borderId="10" xfId="0" applyFont="1" applyBorder="1" applyAlignment="1">
      <alignment horizontal="left" vertical="top" wrapText="1"/>
    </xf>
    <xf numFmtId="44" fontId="9" fillId="3" borderId="39" xfId="0" applyNumberFormat="1" applyFont="1" applyFill="1" applyBorder="1" applyAlignment="1">
      <alignment horizontal="center" vertical="center" wrapText="1"/>
    </xf>
    <xf numFmtId="44" fontId="9" fillId="3" borderId="40" xfId="0" applyNumberFormat="1" applyFont="1" applyFill="1" applyBorder="1" applyAlignment="1">
      <alignment horizontal="center" vertical="center" wrapText="1"/>
    </xf>
    <xf numFmtId="0" fontId="12" fillId="0" borderId="41" xfId="0" applyFont="1" applyBorder="1" applyAlignment="1">
      <alignment horizontal="left" vertical="top" wrapText="1"/>
    </xf>
    <xf numFmtId="0" fontId="0" fillId="0" borderId="42" xfId="0" applyFont="1" applyBorder="1" applyAlignment="1">
      <alignment horizontal="left" vertical="top" wrapText="1"/>
    </xf>
    <xf numFmtId="0" fontId="12" fillId="0" borderId="42" xfId="0" applyFont="1" applyBorder="1" applyAlignment="1">
      <alignment horizontal="left" vertical="top" wrapText="1"/>
    </xf>
    <xf numFmtId="0" fontId="2" fillId="3" borderId="1" xfId="0" applyFont="1" applyFill="1" applyBorder="1" applyAlignment="1">
      <alignment horizontal="center"/>
    </xf>
    <xf numFmtId="0" fontId="2" fillId="3" borderId="3" xfId="0" applyFont="1" applyFill="1" applyBorder="1" applyAlignment="1">
      <alignment horizontal="center"/>
    </xf>
    <xf numFmtId="44" fontId="2" fillId="3" borderId="26" xfId="0" applyNumberFormat="1" applyFont="1" applyFill="1" applyBorder="1" applyAlignment="1">
      <alignment horizontal="center" vertical="center" wrapText="1"/>
    </xf>
    <xf numFmtId="44" fontId="2" fillId="3" borderId="20" xfId="0" applyNumberFormat="1" applyFont="1" applyFill="1" applyBorder="1" applyAlignment="1">
      <alignment horizontal="center" vertical="center" wrapText="1"/>
    </xf>
    <xf numFmtId="0" fontId="2" fillId="3" borderId="33" xfId="0" applyFont="1" applyFill="1" applyBorder="1" applyAlignment="1">
      <alignment horizontal="center"/>
    </xf>
    <xf numFmtId="0" fontId="2" fillId="3" borderId="34" xfId="0" applyFont="1" applyFill="1" applyBorder="1" applyAlignment="1">
      <alignment horizontal="center"/>
    </xf>
    <xf numFmtId="0" fontId="2" fillId="3" borderId="35" xfId="0" applyFont="1" applyFill="1" applyBorder="1" applyAlignment="1">
      <alignment horizontal="center"/>
    </xf>
    <xf numFmtId="0" fontId="19" fillId="0" borderId="0" xfId="1" applyFont="1" applyFill="1" applyAlignment="1">
      <alignment horizontal="left" vertical="top" wrapText="1"/>
    </xf>
    <xf numFmtId="0" fontId="16" fillId="0" borderId="0" xfId="1"/>
    <xf numFmtId="0" fontId="19" fillId="0" borderId="0" xfId="1" applyFont="1" applyFill="1" applyAlignment="1">
      <alignment horizontal="left"/>
    </xf>
    <xf numFmtId="0" fontId="17" fillId="0" borderId="0" xfId="1" applyFont="1" applyFill="1" applyAlignment="1">
      <alignment horizontal="left"/>
    </xf>
    <xf numFmtId="0" fontId="18" fillId="0" borderId="0" xfId="1" applyFont="1" applyFill="1" applyAlignment="1">
      <alignment horizontal="left" vertical="top" wrapText="1"/>
    </xf>
    <xf numFmtId="170" fontId="7" fillId="0" borderId="0" xfId="0" applyNumberFormat="1" applyFont="1" applyAlignment="1">
      <alignment vertical="top" wrapText="1"/>
    </xf>
    <xf numFmtId="170" fontId="0" fillId="0" borderId="0" xfId="0" applyNumberFormat="1" applyFont="1" applyAlignment="1"/>
  </cellXfs>
  <cellStyles count="2">
    <cellStyle name="Normal" xfId="0" builtinId="0"/>
    <cellStyle name="Normal 2" xfId="1"/>
  </cellStyles>
  <dxfs count="3">
    <dxf>
      <font>
        <color rgb="FF9C0006"/>
      </font>
      <fill>
        <patternFill>
          <bgColor rgb="FFFFC7CE"/>
        </patternFill>
      </fill>
    </dxf>
    <dxf>
      <font>
        <color rgb="FF9C0006"/>
      </font>
      <fill>
        <patternFill patternType="solid">
          <fgColor rgb="FFFFC7CE"/>
          <bgColor rgb="FFFFC7CE"/>
        </patternFill>
      </fill>
      <border>
        <left/>
        <right/>
        <top/>
        <bottom/>
      </border>
    </dxf>
    <dxf>
      <font>
        <i/>
        <color rgb="FFC00000"/>
      </font>
      <fill>
        <patternFill patternType="none"/>
      </fill>
      <border>
        <left/>
        <right/>
        <top/>
        <bottom/>
      </border>
    </dxf>
  </dxfs>
  <tableStyles count="0" defaultTableStyle="TableStyleMedium2" defaultPivotStyle="PivotStyleLight16"/>
  <colors>
    <mruColors>
      <color rgb="FFCCFFCC"/>
      <color rgb="FFCCFF99"/>
      <color rgb="FF99FF99"/>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topLeftCell="A4" zoomScale="80" zoomScaleNormal="80" workbookViewId="0">
      <selection activeCell="D29" sqref="B29:D29"/>
    </sheetView>
  </sheetViews>
  <sheetFormatPr defaultColWidth="17.28515625" defaultRowHeight="15" customHeight="1" x14ac:dyDescent="0.25"/>
  <cols>
    <col min="1" max="1" width="50.28515625" customWidth="1"/>
    <col min="2" max="2" width="20.140625" customWidth="1"/>
    <col min="3" max="3" width="24.7109375" customWidth="1"/>
    <col min="4" max="4" width="26.140625" customWidth="1"/>
    <col min="5" max="5" width="29.7109375" customWidth="1"/>
    <col min="6" max="6" width="17.85546875" style="25" bestFit="1" customWidth="1"/>
    <col min="7" max="7" width="11.85546875" bestFit="1" customWidth="1"/>
    <col min="8" max="8" width="13.28515625" customWidth="1"/>
    <col min="9" max="9" width="12.42578125" customWidth="1"/>
    <col min="10" max="10" width="2.7109375" customWidth="1"/>
  </cols>
  <sheetData>
    <row r="1" spans="1:10" ht="113.25" customHeight="1" x14ac:dyDescent="0.25">
      <c r="A1" s="116" t="s">
        <v>85</v>
      </c>
      <c r="B1" s="115">
        <f>'break-even sum'!I2</f>
        <v>5</v>
      </c>
      <c r="C1" s="135" t="s">
        <v>5</v>
      </c>
      <c r="D1" s="136"/>
      <c r="E1" s="136"/>
      <c r="F1" s="33"/>
      <c r="G1" s="4"/>
      <c r="H1" s="4"/>
      <c r="I1" s="4"/>
      <c r="J1" s="4"/>
    </row>
    <row r="2" spans="1:10" ht="15.75" customHeight="1" x14ac:dyDescent="0.25">
      <c r="A2" s="5"/>
      <c r="B2" s="32"/>
      <c r="C2" s="6"/>
      <c r="D2" s="6"/>
      <c r="E2" s="38"/>
      <c r="F2" s="33"/>
      <c r="G2" s="4"/>
      <c r="H2" s="4"/>
      <c r="I2" s="4"/>
      <c r="J2" s="4"/>
    </row>
    <row r="3" spans="1:10" ht="15.75" customHeight="1" x14ac:dyDescent="0.25">
      <c r="A3" s="99" t="s">
        <v>90</v>
      </c>
      <c r="B3" s="100" t="s">
        <v>86</v>
      </c>
      <c r="C3" s="101" t="s">
        <v>87</v>
      </c>
      <c r="D3" s="102" t="s">
        <v>88</v>
      </c>
      <c r="E3" s="40"/>
      <c r="F3" s="33"/>
      <c r="G3" s="4"/>
      <c r="H3" s="4"/>
      <c r="I3" s="4"/>
      <c r="J3" s="4"/>
    </row>
    <row r="4" spans="1:10" ht="15.75" customHeight="1" x14ac:dyDescent="0.25">
      <c r="A4" s="99" t="s">
        <v>84</v>
      </c>
      <c r="B4" s="103">
        <f>'break-even sum'!D11</f>
        <v>431386.39159790904</v>
      </c>
      <c r="C4" s="104">
        <f>'break-even sum'!D21</f>
        <v>1078844.1263375315</v>
      </c>
      <c r="D4" s="105">
        <f>'break-even sum'!D31</f>
        <v>1992527.0810950815</v>
      </c>
      <c r="E4" s="39"/>
      <c r="F4" s="33"/>
      <c r="G4" s="4"/>
      <c r="H4" s="4"/>
      <c r="I4" s="4"/>
      <c r="J4" s="4"/>
    </row>
    <row r="5" spans="1:10" ht="16.5" customHeight="1" x14ac:dyDescent="0.25">
      <c r="A5" s="5"/>
      <c r="B5" s="11"/>
      <c r="C5" s="12"/>
      <c r="D5" s="12"/>
      <c r="E5" s="13"/>
      <c r="F5" s="33"/>
      <c r="G5" s="4"/>
      <c r="H5" s="4"/>
      <c r="I5" s="4"/>
      <c r="J5" s="4"/>
    </row>
    <row r="6" spans="1:10" ht="39" customHeight="1" x14ac:dyDescent="0.25">
      <c r="A6" s="133" t="s">
        <v>15</v>
      </c>
      <c r="B6" s="134"/>
      <c r="C6" s="6"/>
      <c r="D6" s="15"/>
      <c r="E6" s="13"/>
      <c r="F6" s="33"/>
      <c r="G6" s="4"/>
      <c r="H6" s="4"/>
      <c r="I6" s="4"/>
      <c r="J6" s="4"/>
    </row>
    <row r="7" spans="1:10" ht="15.75" customHeight="1" x14ac:dyDescent="0.25">
      <c r="A7" s="16" t="s">
        <v>16</v>
      </c>
      <c r="B7" s="17">
        <v>2015</v>
      </c>
      <c r="C7" s="103"/>
      <c r="D7" s="159"/>
      <c r="E7" s="13"/>
      <c r="F7" s="33"/>
      <c r="G7" s="4"/>
      <c r="H7" s="4"/>
      <c r="I7" s="4"/>
      <c r="J7" s="4"/>
    </row>
    <row r="8" spans="1:10" ht="39" customHeight="1" x14ac:dyDescent="0.25">
      <c r="A8" s="132" t="s">
        <v>17</v>
      </c>
      <c r="B8" s="127"/>
      <c r="C8" s="6"/>
      <c r="D8" s="6"/>
      <c r="E8" s="13"/>
      <c r="F8" s="33"/>
      <c r="G8" s="4"/>
      <c r="H8" s="4"/>
      <c r="I8" s="4"/>
      <c r="J8" s="4"/>
    </row>
    <row r="9" spans="1:10" ht="18.75" customHeight="1" x14ac:dyDescent="0.25">
      <c r="A9" s="132" t="s">
        <v>18</v>
      </c>
      <c r="B9" s="127"/>
      <c r="C9" s="6"/>
      <c r="D9" s="6"/>
      <c r="E9" s="13"/>
      <c r="F9" s="33"/>
      <c r="G9" s="4"/>
      <c r="H9" s="4"/>
      <c r="I9" s="4"/>
      <c r="J9" s="4"/>
    </row>
    <row r="10" spans="1:10" ht="18.75" customHeight="1" x14ac:dyDescent="0.25">
      <c r="A10" s="132" t="s">
        <v>19</v>
      </c>
      <c r="B10" s="127"/>
      <c r="C10" s="6"/>
      <c r="D10" s="6"/>
      <c r="E10" s="13"/>
      <c r="F10" s="33"/>
      <c r="G10" s="4"/>
      <c r="H10" s="4"/>
      <c r="I10" s="4"/>
      <c r="J10" s="4"/>
    </row>
    <row r="11" spans="1:10" ht="36.75" customHeight="1" x14ac:dyDescent="0.25">
      <c r="A11" s="132" t="s">
        <v>20</v>
      </c>
      <c r="B11" s="141"/>
      <c r="C11" s="6"/>
      <c r="D11" s="6"/>
      <c r="E11" s="13"/>
      <c r="F11" s="33"/>
      <c r="G11" s="4"/>
      <c r="H11" s="4"/>
      <c r="I11" s="4"/>
      <c r="J11" s="4"/>
    </row>
    <row r="12" spans="1:10" ht="18.75" customHeight="1" x14ac:dyDescent="0.25">
      <c r="A12" s="139"/>
      <c r="B12" s="140"/>
      <c r="C12" s="137" t="s">
        <v>21</v>
      </c>
      <c r="D12" s="138"/>
      <c r="E12" s="134"/>
      <c r="F12" s="33"/>
      <c r="G12" s="4"/>
      <c r="H12" s="4"/>
      <c r="I12" s="4"/>
      <c r="J12" s="4"/>
    </row>
    <row r="13" spans="1:10" ht="18" customHeight="1" x14ac:dyDescent="0.25">
      <c r="A13" s="18" t="s">
        <v>22</v>
      </c>
      <c r="B13" s="108">
        <v>200000</v>
      </c>
      <c r="C13" s="125" t="s">
        <v>23</v>
      </c>
      <c r="D13" s="126"/>
      <c r="E13" s="127"/>
      <c r="F13" s="34"/>
      <c r="G13" s="20"/>
      <c r="H13" s="20"/>
      <c r="I13" s="20"/>
      <c r="J13" s="20"/>
    </row>
    <row r="14" spans="1:10" ht="18" customHeight="1" x14ac:dyDescent="0.25">
      <c r="A14" s="18" t="s">
        <v>24</v>
      </c>
      <c r="B14" s="108"/>
      <c r="C14" s="125" t="s">
        <v>25</v>
      </c>
      <c r="D14" s="126"/>
      <c r="E14" s="127"/>
      <c r="F14" s="34"/>
      <c r="G14" s="20"/>
      <c r="H14" s="20"/>
      <c r="I14" s="20"/>
      <c r="J14" s="20"/>
    </row>
    <row r="15" spans="1:10" ht="18" customHeight="1" x14ac:dyDescent="0.25">
      <c r="A15" s="18" t="s">
        <v>26</v>
      </c>
      <c r="B15" s="109">
        <f>B13-B14</f>
        <v>200000</v>
      </c>
      <c r="C15" s="125" t="s">
        <v>23</v>
      </c>
      <c r="D15" s="126"/>
      <c r="E15" s="127"/>
      <c r="F15" s="36"/>
      <c r="G15" s="20"/>
      <c r="H15" s="20"/>
      <c r="I15" s="20"/>
      <c r="J15" s="20"/>
    </row>
    <row r="16" spans="1:10" ht="18" customHeight="1" x14ac:dyDescent="0.25">
      <c r="A16" s="18" t="s">
        <v>27</v>
      </c>
      <c r="B16" s="110">
        <v>25</v>
      </c>
      <c r="C16" s="131" t="s">
        <v>28</v>
      </c>
      <c r="D16" s="126"/>
      <c r="E16" s="127"/>
      <c r="F16" s="34"/>
      <c r="G16" s="20"/>
      <c r="H16" s="20"/>
      <c r="I16" s="20"/>
      <c r="J16" s="20"/>
    </row>
    <row r="17" spans="1:10" ht="18" customHeight="1" x14ac:dyDescent="0.25">
      <c r="A17" s="21" t="s">
        <v>46</v>
      </c>
      <c r="B17" s="111">
        <v>5.4399999999999997E-2</v>
      </c>
      <c r="C17" s="131" t="s">
        <v>29</v>
      </c>
      <c r="D17" s="126"/>
      <c r="E17" s="127"/>
      <c r="F17" s="35"/>
      <c r="G17" s="20"/>
      <c r="H17" s="20"/>
      <c r="I17" s="20"/>
      <c r="J17" s="20"/>
    </row>
    <row r="18" spans="1:10" ht="18" customHeight="1" x14ac:dyDescent="0.25">
      <c r="A18" s="21" t="s">
        <v>30</v>
      </c>
      <c r="B18" s="110" t="s">
        <v>0</v>
      </c>
      <c r="C18" s="131" t="s">
        <v>31</v>
      </c>
      <c r="D18" s="126"/>
      <c r="E18" s="127"/>
      <c r="F18" s="33"/>
      <c r="G18" s="4"/>
      <c r="H18" s="4"/>
      <c r="I18" s="4"/>
      <c r="J18" s="4"/>
    </row>
    <row r="19" spans="1:10" ht="18" customHeight="1" x14ac:dyDescent="0.25">
      <c r="A19" s="21" t="s">
        <v>32</v>
      </c>
      <c r="B19" s="112">
        <f>IF(B15=0,"n/a",IF(B16=0,"Enter ""Loan term"" above.",ROUND(IF(B18="weekly",B16*365.25/7,IF(B18="bi-weekly",B16*365.25/14,IF(B18="monthly",B16*12,IF(B18="yearly",B16,"")))),1)))</f>
        <v>300</v>
      </c>
      <c r="C19" s="125" t="s">
        <v>33</v>
      </c>
      <c r="D19" s="126"/>
      <c r="E19" s="127"/>
      <c r="F19" s="33"/>
      <c r="G19" s="4"/>
      <c r="H19" s="4"/>
      <c r="I19" s="4"/>
      <c r="J19" s="4"/>
    </row>
    <row r="20" spans="1:10" ht="18" customHeight="1" x14ac:dyDescent="0.25">
      <c r="A20" s="21" t="s">
        <v>34</v>
      </c>
      <c r="B20" s="113">
        <f>IF(B15=0,"n/a",IF(B16=0,"Enter ""Loan term"" above.",(1+B17)^(1/(B19/B16))-1))</f>
        <v>4.4240812097819937E-3</v>
      </c>
      <c r="C20" s="125" t="s">
        <v>33</v>
      </c>
      <c r="D20" s="126"/>
      <c r="E20" s="127"/>
      <c r="F20" s="33"/>
      <c r="G20" s="4"/>
      <c r="H20" s="4"/>
      <c r="I20" s="4"/>
      <c r="J20" s="4"/>
    </row>
    <row r="21" spans="1:10" ht="18" customHeight="1" x14ac:dyDescent="0.25">
      <c r="A21" s="18" t="s">
        <v>35</v>
      </c>
      <c r="B21" s="114">
        <f>IF(B15=0,"n/a",IF(B16=0,"Enter ""Loan term"" above.",-PMT(B20,B19,B15,0)))</f>
        <v>1205.4550540713306</v>
      </c>
      <c r="C21" s="125" t="s">
        <v>36</v>
      </c>
      <c r="D21" s="126"/>
      <c r="E21" s="127"/>
      <c r="F21" s="34"/>
      <c r="G21" s="68"/>
      <c r="H21" s="20"/>
      <c r="I21" s="20"/>
      <c r="J21" s="20"/>
    </row>
    <row r="22" spans="1:10" ht="18" customHeight="1" x14ac:dyDescent="0.25">
      <c r="A22" s="21" t="s">
        <v>45</v>
      </c>
      <c r="B22" s="107">
        <v>560000</v>
      </c>
      <c r="C22" s="125" t="s">
        <v>37</v>
      </c>
      <c r="D22" s="126"/>
      <c r="E22" s="127"/>
      <c r="F22" s="33"/>
      <c r="G22" s="4"/>
      <c r="H22" s="4"/>
      <c r="I22" s="4"/>
      <c r="J22" s="4"/>
    </row>
    <row r="23" spans="1:10" ht="31.5" customHeight="1" x14ac:dyDescent="0.25">
      <c r="A23" s="21" t="s">
        <v>38</v>
      </c>
      <c r="B23" s="106">
        <v>0.01</v>
      </c>
      <c r="C23" s="128" t="s">
        <v>39</v>
      </c>
      <c r="D23" s="129"/>
      <c r="E23" s="130"/>
      <c r="F23" s="33"/>
      <c r="G23" s="4"/>
      <c r="H23" s="4"/>
      <c r="I23" s="4"/>
      <c r="J23" s="4"/>
    </row>
    <row r="24" spans="1:10" ht="17.25" customHeight="1" x14ac:dyDescent="0.25">
      <c r="A24" s="21" t="s">
        <v>40</v>
      </c>
      <c r="B24" s="111">
        <v>0.05</v>
      </c>
      <c r="C24" s="125" t="s">
        <v>41</v>
      </c>
      <c r="D24" s="126"/>
      <c r="E24" s="127"/>
      <c r="F24" s="37"/>
      <c r="G24" s="4"/>
      <c r="H24" s="4"/>
      <c r="I24" s="4"/>
      <c r="J24" s="4"/>
    </row>
    <row r="25" spans="1:10" ht="50.25" customHeight="1" x14ac:dyDescent="0.25">
      <c r="A25" s="21" t="s">
        <v>42</v>
      </c>
      <c r="B25" s="107">
        <v>2700</v>
      </c>
      <c r="C25" s="128" t="s">
        <v>43</v>
      </c>
      <c r="D25" s="129"/>
      <c r="E25" s="130"/>
      <c r="F25" s="33"/>
      <c r="G25" s="4"/>
      <c r="H25" s="4"/>
      <c r="I25" s="4"/>
      <c r="J25" s="4"/>
    </row>
    <row r="26" spans="1:10" ht="48.75" customHeight="1" x14ac:dyDescent="0.25">
      <c r="A26" s="21" t="s">
        <v>44</v>
      </c>
      <c r="B26" s="70">
        <v>0.05</v>
      </c>
      <c r="C26" s="128" t="s">
        <v>89</v>
      </c>
      <c r="D26" s="129"/>
      <c r="E26" s="130"/>
      <c r="F26" s="37"/>
      <c r="G26" s="4"/>
      <c r="H26" s="4"/>
      <c r="I26" s="4"/>
      <c r="J26" s="4"/>
    </row>
    <row r="27" spans="1:10" ht="46.5" customHeight="1" x14ac:dyDescent="0.25">
      <c r="A27" s="20"/>
      <c r="B27" s="22"/>
      <c r="C27" s="23"/>
      <c r="D27" s="23"/>
      <c r="E27" s="23"/>
      <c r="F27" s="34"/>
      <c r="G27" s="20"/>
      <c r="H27" s="20"/>
      <c r="I27" s="20"/>
      <c r="J27" s="20"/>
    </row>
    <row r="29" spans="1:10" ht="15" customHeight="1" x14ac:dyDescent="0.25">
      <c r="B29" s="160"/>
      <c r="C29" s="160"/>
      <c r="D29" s="160"/>
    </row>
  </sheetData>
  <mergeCells count="22">
    <mergeCell ref="A8:B8"/>
    <mergeCell ref="A6:B6"/>
    <mergeCell ref="C1:E1"/>
    <mergeCell ref="C20:E20"/>
    <mergeCell ref="C19:E19"/>
    <mergeCell ref="C17:E17"/>
    <mergeCell ref="C16:E16"/>
    <mergeCell ref="A10:B10"/>
    <mergeCell ref="C12:E12"/>
    <mergeCell ref="A12:B12"/>
    <mergeCell ref="A9:B9"/>
    <mergeCell ref="C14:E14"/>
    <mergeCell ref="C13:E13"/>
    <mergeCell ref="C15:E15"/>
    <mergeCell ref="A11:B11"/>
    <mergeCell ref="C22:E22"/>
    <mergeCell ref="C21:E21"/>
    <mergeCell ref="C26:E26"/>
    <mergeCell ref="C18:E18"/>
    <mergeCell ref="C23:E23"/>
    <mergeCell ref="C25:E25"/>
    <mergeCell ref="C24:E24"/>
  </mergeCells>
  <conditionalFormatting sqref="B19:B21">
    <cfRule type="expression" dxfId="2" priority="1">
      <formula>$B$15=0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showErrorMessage="1">
          <x14:formula1>
            <xm:f>'payment frequency'!A1:A4</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D2" sqref="D2"/>
    </sheetView>
  </sheetViews>
  <sheetFormatPr defaultColWidth="17.28515625" defaultRowHeight="15" customHeight="1" x14ac:dyDescent="0.25"/>
  <cols>
    <col min="1" max="1" width="12.28515625" style="57" customWidth="1"/>
    <col min="2" max="2" width="13.42578125" customWidth="1"/>
    <col min="3" max="3" width="21" customWidth="1"/>
    <col min="4" max="4" width="19.85546875" customWidth="1"/>
    <col min="5" max="5" width="7.140625" customWidth="1"/>
    <col min="6" max="7" width="8.7109375" customWidth="1"/>
    <col min="9" max="9" width="12.5703125" bestFit="1" customWidth="1"/>
  </cols>
  <sheetData>
    <row r="1" spans="1:9" ht="32.25" customHeight="1" thickBot="1" x14ac:dyDescent="0.3">
      <c r="A1" s="142" t="s">
        <v>7</v>
      </c>
      <c r="B1" s="143"/>
      <c r="C1" s="120" t="str">
        <f>'benefit_cost detail'!P3</f>
        <v>ANNUAL NET VALUE (NOMINAL)</v>
      </c>
      <c r="D1" s="121" t="str">
        <f>'benefit_cost detail'!R3</f>
        <v>CUMULATIVE NET VALUE (NPV)</v>
      </c>
      <c r="E1" s="31"/>
      <c r="F1" s="144" t="s">
        <v>82</v>
      </c>
      <c r="G1" s="146"/>
      <c r="H1" s="146"/>
      <c r="I1" s="67">
        <f>assumptions!B13</f>
        <v>200000</v>
      </c>
    </row>
    <row r="2" spans="1:9" ht="15.75" thickBot="1" x14ac:dyDescent="0.3">
      <c r="A2" s="122">
        <f>'benefit_cost detail'!A4</f>
        <v>1</v>
      </c>
      <c r="B2" s="123">
        <f>'benefit_cost detail'!B4</f>
        <v>2015</v>
      </c>
      <c r="C2" s="71">
        <f>'benefit_cost detail'!P4</f>
        <v>12334.539351144034</v>
      </c>
      <c r="D2" s="124">
        <f>'benefit_cost detail'!R4</f>
        <v>12334.539351144034</v>
      </c>
      <c r="E2" s="10"/>
      <c r="F2" s="144" t="s">
        <v>83</v>
      </c>
      <c r="G2" s="145"/>
      <c r="H2" s="145"/>
      <c r="I2" s="69">
        <f>COUNTIF(D2:D31,"&lt;"&amp;I1)</f>
        <v>5</v>
      </c>
    </row>
    <row r="3" spans="1:9" x14ac:dyDescent="0.25">
      <c r="A3" s="117">
        <f>'benefit_cost detail'!A5</f>
        <v>2</v>
      </c>
      <c r="B3" s="119">
        <f>'benefit_cost detail'!B5</f>
        <v>2016</v>
      </c>
      <c r="C3" s="71">
        <f>'benefit_cost detail'!P5</f>
        <v>41674.539351144034</v>
      </c>
      <c r="D3" s="124">
        <f>'benefit_cost detail'!R5</f>
        <v>51743.24757612223</v>
      </c>
      <c r="E3" s="10"/>
      <c r="F3" s="14"/>
      <c r="G3" s="14"/>
    </row>
    <row r="4" spans="1:9" x14ac:dyDescent="0.25">
      <c r="A4" s="117">
        <f>'benefit_cost detail'!A6</f>
        <v>3</v>
      </c>
      <c r="B4" s="119">
        <f>'benefit_cost detail'!B6</f>
        <v>2017</v>
      </c>
      <c r="C4" s="71">
        <f>'benefit_cost detail'!P6</f>
        <v>44481.539351144034</v>
      </c>
      <c r="D4" s="124">
        <f>'benefit_cost detail'!R6</f>
        <v>93107.281881905947</v>
      </c>
      <c r="E4" s="1"/>
    </row>
    <row r="5" spans="1:9" x14ac:dyDescent="0.25">
      <c r="A5" s="117">
        <f>'benefit_cost detail'!A7</f>
        <v>4</v>
      </c>
      <c r="B5" s="119">
        <f>'benefit_cost detail'!B7</f>
        <v>2018</v>
      </c>
      <c r="C5" s="71">
        <f>'benefit_cost detail'!P7</f>
        <v>47428.88935114404</v>
      </c>
      <c r="D5" s="124">
        <f>'benefit_cost detail'!R7</f>
        <v>136156.6779659001</v>
      </c>
      <c r="E5" s="1"/>
    </row>
    <row r="6" spans="1:9" x14ac:dyDescent="0.25">
      <c r="A6" s="117">
        <f>'benefit_cost detail'!A8</f>
        <v>5</v>
      </c>
      <c r="B6" s="119">
        <f>'benefit_cost detail'!B8</f>
        <v>2019</v>
      </c>
      <c r="C6" s="71">
        <f>'benefit_cost detail'!P8</f>
        <v>50523.606851144024</v>
      </c>
      <c r="D6" s="124">
        <f>'benefit_cost detail'!R8</f>
        <v>180917.64727162264</v>
      </c>
      <c r="E6" s="1"/>
    </row>
    <row r="7" spans="1:9" x14ac:dyDescent="0.25">
      <c r="A7" s="117">
        <f>'benefit_cost detail'!A9</f>
        <v>6</v>
      </c>
      <c r="B7" s="119">
        <f>'benefit_cost detail'!B9</f>
        <v>2020</v>
      </c>
      <c r="C7" s="71">
        <f>'benefit_cost detail'!P9</f>
        <v>53773.060226144036</v>
      </c>
      <c r="D7" s="72">
        <f>'benefit_cost detail'!R9</f>
        <v>227417.42914653465</v>
      </c>
      <c r="E7" s="1"/>
    </row>
    <row r="8" spans="1:9" x14ac:dyDescent="0.25">
      <c r="A8" s="117">
        <f>'benefit_cost detail'!A10</f>
        <v>7</v>
      </c>
      <c r="B8" s="119">
        <f>'benefit_cost detail'!B10</f>
        <v>2021</v>
      </c>
      <c r="C8" s="71">
        <f>'benefit_cost detail'!P10</f>
        <v>57184.986269894034</v>
      </c>
      <c r="D8" s="72">
        <f>'benefit_cost detail'!R10</f>
        <v>275684.3074138143</v>
      </c>
      <c r="E8" s="1"/>
    </row>
    <row r="9" spans="1:9" x14ac:dyDescent="0.25">
      <c r="A9" s="117">
        <f>'benefit_cost detail'!A11</f>
        <v>8</v>
      </c>
      <c r="B9" s="119">
        <f>'benefit_cost detail'!B11</f>
        <v>2022</v>
      </c>
      <c r="C9" s="71">
        <f>'benefit_cost detail'!P11</f>
        <v>60767.508615831553</v>
      </c>
      <c r="D9" s="72">
        <f>'benefit_cost detail'!R11</f>
        <v>325747.62757160328</v>
      </c>
      <c r="E9" s="1"/>
    </row>
    <row r="10" spans="1:9" x14ac:dyDescent="0.25">
      <c r="A10" s="117">
        <f>'benefit_cost detail'!A12</f>
        <v>9</v>
      </c>
      <c r="B10" s="119">
        <f>'benefit_cost detail'!B12</f>
        <v>2023</v>
      </c>
      <c r="C10" s="71">
        <f>'benefit_cost detail'!P12</f>
        <v>64529.157079065917</v>
      </c>
      <c r="D10" s="72">
        <f>'benefit_cost detail'!R12</f>
        <v>377637.81463018147</v>
      </c>
      <c r="E10" s="1"/>
    </row>
    <row r="11" spans="1:9" x14ac:dyDescent="0.25">
      <c r="A11" s="117">
        <f>'benefit_cost detail'!A13</f>
        <v>10</v>
      </c>
      <c r="B11" s="119">
        <f>'benefit_cost detail'!B13</f>
        <v>2024</v>
      </c>
      <c r="C11" s="71">
        <f>'benefit_cost detail'!P13</f>
        <v>68478.88796546201</v>
      </c>
      <c r="D11" s="73">
        <f>'benefit_cost detail'!R13</f>
        <v>431386.39159790904</v>
      </c>
      <c r="E11" s="1"/>
    </row>
    <row r="12" spans="1:9" x14ac:dyDescent="0.25">
      <c r="A12" s="117">
        <f>'benefit_cost detail'!A15</f>
        <v>11</v>
      </c>
      <c r="B12" s="119">
        <f>'benefit_cost detail'!B15</f>
        <v>2025</v>
      </c>
      <c r="C12" s="74">
        <f>'benefit_cost detail'!P15</f>
        <v>72626.105396177911</v>
      </c>
      <c r="D12" s="73">
        <f>'benefit_cost detail'!R15</f>
        <v>487025.99862716597</v>
      </c>
      <c r="E12" s="1"/>
      <c r="F12" s="19"/>
      <c r="G12" s="19"/>
    </row>
    <row r="13" spans="1:9" x14ac:dyDescent="0.25">
      <c r="A13" s="117">
        <f>'benefit_cost detail'!A16</f>
        <v>12</v>
      </c>
      <c r="B13" s="119">
        <f>'benefit_cost detail'!B16</f>
        <v>2026</v>
      </c>
      <c r="C13" s="74">
        <f>'benefit_cost detail'!P16</f>
        <v>76980.68369842961</v>
      </c>
      <c r="D13" s="73">
        <f>'benefit_cost detail'!R16</f>
        <v>544590.41283191508</v>
      </c>
      <c r="E13" s="1"/>
    </row>
    <row r="14" spans="1:9" x14ac:dyDescent="0.25">
      <c r="A14" s="117">
        <f>'benefit_cost detail'!A17</f>
        <v>13</v>
      </c>
      <c r="B14" s="119">
        <f>'benefit_cost detail'!B17</f>
        <v>2027</v>
      </c>
      <c r="C14" s="74">
        <f>'benefit_cost detail'!P17</f>
        <v>81552.990915793896</v>
      </c>
      <c r="D14" s="73">
        <f>'benefit_cost detail'!R17</f>
        <v>604114.56878891785</v>
      </c>
      <c r="E14" s="1"/>
    </row>
    <row r="15" spans="1:9" x14ac:dyDescent="0.25">
      <c r="A15" s="117">
        <f>'benefit_cost detail'!A18</f>
        <v>14</v>
      </c>
      <c r="B15" s="119">
        <f>'benefit_cost detail'!B18</f>
        <v>2028</v>
      </c>
      <c r="C15" s="74">
        <f>'benefit_cost detail'!P18</f>
        <v>86353.91349402639</v>
      </c>
      <c r="D15" s="73">
        <f>'benefit_cost detail'!R18</f>
        <v>665634.57973504486</v>
      </c>
      <c r="E15" s="1"/>
    </row>
    <row r="16" spans="1:9" x14ac:dyDescent="0.25">
      <c r="A16" s="117">
        <f>'benefit_cost detail'!A19</f>
        <v>15</v>
      </c>
      <c r="B16" s="119">
        <f>'benefit_cost detail'!B19</f>
        <v>2029</v>
      </c>
      <c r="C16" s="74">
        <f>'benefit_cost detail'!P19</f>
        <v>91394.882201170505</v>
      </c>
      <c r="D16" s="73">
        <f>'benefit_cost detail'!R19</f>
        <v>729187.75947354012</v>
      </c>
      <c r="E16" s="1"/>
    </row>
    <row r="17" spans="1:5" x14ac:dyDescent="0.25">
      <c r="A17" s="117">
        <f>'benefit_cost detail'!A20</f>
        <v>16</v>
      </c>
      <c r="B17" s="119">
        <f>'benefit_cost detail'!B20</f>
        <v>2030</v>
      </c>
      <c r="C17" s="74">
        <f>'benefit_cost detail'!P20</f>
        <v>96687.899343671845</v>
      </c>
      <c r="D17" s="73">
        <f>'benefit_cost detail'!R20</f>
        <v>794812.645002526</v>
      </c>
      <c r="E17" s="1"/>
    </row>
    <row r="18" spans="1:5" x14ac:dyDescent="0.25">
      <c r="A18" s="117">
        <f>'benefit_cost detail'!A21</f>
        <v>17</v>
      </c>
      <c r="B18" s="119">
        <f>'benefit_cost detail'!B21</f>
        <v>2031</v>
      </c>
      <c r="C18" s="74">
        <f>'benefit_cost detail'!P21</f>
        <v>102245.56734329821</v>
      </c>
      <c r="D18" s="73">
        <f>'benefit_cost detail'!R21</f>
        <v>862549.0198794693</v>
      </c>
      <c r="E18" s="1"/>
    </row>
    <row r="19" spans="1:5" x14ac:dyDescent="0.25">
      <c r="A19" s="117">
        <f>'benefit_cost detail'!A22</f>
        <v>18</v>
      </c>
      <c r="B19" s="119">
        <f>'benefit_cost detail'!B22</f>
        <v>2032</v>
      </c>
      <c r="C19" s="74">
        <f>'benefit_cost detail'!P22</f>
        <v>108081.11874290592</v>
      </c>
      <c r="D19" s="73">
        <f>'benefit_cost detail'!R22</f>
        <v>932437.93833577167</v>
      </c>
      <c r="E19" s="1"/>
    </row>
    <row r="20" spans="1:5" x14ac:dyDescent="0.25">
      <c r="A20" s="117">
        <f>'benefit_cost detail'!A23</f>
        <v>19</v>
      </c>
      <c r="B20" s="119">
        <f>'benefit_cost detail'!B23</f>
        <v>2033</v>
      </c>
      <c r="C20" s="74">
        <f>'benefit_cost detail'!P23</f>
        <v>114208.44771249402</v>
      </c>
      <c r="D20" s="73">
        <f>'benefit_cost detail'!R23</f>
        <v>1004521.7501561</v>
      </c>
      <c r="E20" s="1"/>
    </row>
    <row r="21" spans="1:5" x14ac:dyDescent="0.25">
      <c r="A21" s="117">
        <f>'benefit_cost detail'!A24</f>
        <v>20</v>
      </c>
      <c r="B21" s="119">
        <f>'benefit_cost detail'!B24</f>
        <v>2034</v>
      </c>
      <c r="C21" s="74">
        <f>'benefit_cost detail'!P24</f>
        <v>120642.14313056153</v>
      </c>
      <c r="D21" s="73">
        <f>'benefit_cost detail'!R24</f>
        <v>1078844.1263375315</v>
      </c>
      <c r="E21" s="1"/>
    </row>
    <row r="22" spans="1:5" x14ac:dyDescent="0.25">
      <c r="A22" s="117">
        <f>'benefit_cost detail'!A26</f>
        <v>21</v>
      </c>
      <c r="B22" s="119">
        <f>'benefit_cost detail'!B26</f>
        <v>2035</v>
      </c>
      <c r="C22" s="73">
        <f>'benefit_cost detail'!P26</f>
        <v>127397.5233195324</v>
      </c>
      <c r="D22" s="73">
        <f>'benefit_cost detail'!R26</f>
        <v>1155450.0855440593</v>
      </c>
      <c r="E22" s="1"/>
    </row>
    <row r="23" spans="1:5" x14ac:dyDescent="0.25">
      <c r="A23" s="117">
        <f>'benefit_cost detail'!A27</f>
        <v>22</v>
      </c>
      <c r="B23" s="119">
        <f>'benefit_cost detail'!B27</f>
        <v>2036</v>
      </c>
      <c r="C23" s="73">
        <f>'benefit_cost detail'!P27</f>
        <v>134490.67251795181</v>
      </c>
      <c r="D23" s="73">
        <f>'benefit_cost detail'!R27</f>
        <v>1234386.0213724801</v>
      </c>
      <c r="E23" s="1"/>
    </row>
    <row r="24" spans="1:5" x14ac:dyDescent="0.25">
      <c r="A24" s="117">
        <f>'benefit_cost detail'!A28</f>
        <v>23</v>
      </c>
      <c r="B24" s="119">
        <f>'benefit_cost detail'!B28</f>
        <v>2037</v>
      </c>
      <c r="C24" s="73">
        <f>'benefit_cost detail'!P28</f>
        <v>141938.4791762922</v>
      </c>
      <c r="D24" s="73">
        <f>'benefit_cost detail'!R28</f>
        <v>1315699.7304461785</v>
      </c>
      <c r="E24" s="1"/>
    </row>
    <row r="25" spans="1:5" x14ac:dyDescent="0.25">
      <c r="A25" s="117">
        <f>'benefit_cost detail'!A29</f>
        <v>24</v>
      </c>
      <c r="B25" s="119">
        <f>'benefit_cost detail'!B29</f>
        <v>2038</v>
      </c>
      <c r="C25" s="73">
        <f>'benefit_cost detail'!P29</f>
        <v>149758.67616754962</v>
      </c>
      <c r="D25" s="73">
        <f>'benefit_cost detail'!R29</f>
        <v>1399440.4413538165</v>
      </c>
      <c r="E25" s="1"/>
    </row>
    <row r="26" spans="1:5" x14ac:dyDescent="0.25">
      <c r="A26" s="117">
        <f>'benefit_cost detail'!A30</f>
        <v>25</v>
      </c>
      <c r="B26" s="119">
        <f>'benefit_cost detail'!B30</f>
        <v>2039</v>
      </c>
      <c r="C26" s="73">
        <f>'benefit_cost detail'!P30</f>
        <v>157969.88300836991</v>
      </c>
      <c r="D26" s="73">
        <f>'benefit_cost detail'!R30</f>
        <v>1485658.8444504491</v>
      </c>
      <c r="E26" s="1"/>
    </row>
    <row r="27" spans="1:5" x14ac:dyDescent="0.25">
      <c r="A27" s="117">
        <f>'benefit_cost detail'!A31</f>
        <v>26</v>
      </c>
      <c r="B27" s="119">
        <f>'benefit_cost detail'!B31</f>
        <v>2040</v>
      </c>
      <c r="C27" s="73">
        <f>'benefit_cost detail'!P31</f>
        <v>181057.11084008715</v>
      </c>
      <c r="D27" s="73">
        <f>'benefit_cost detail'!R31</f>
        <v>1582113.2994265498</v>
      </c>
      <c r="E27" s="1"/>
    </row>
    <row r="28" spans="1:5" x14ac:dyDescent="0.25">
      <c r="A28" s="117">
        <f>'benefit_cost detail'!A32</f>
        <v>27</v>
      </c>
      <c r="B28" s="119">
        <f>'benefit_cost detail'!B32</f>
        <v>2041</v>
      </c>
      <c r="C28" s="73">
        <f>'benefit_cost detail'!P32</f>
        <v>190109.96638209154</v>
      </c>
      <c r="D28" s="73">
        <f>'benefit_cost detail'!R32</f>
        <v>1680966.9284942874</v>
      </c>
      <c r="E28" s="1"/>
    </row>
    <row r="29" spans="1:5" x14ac:dyDescent="0.25">
      <c r="A29" s="117">
        <f>'benefit_cost detail'!A33</f>
        <v>28</v>
      </c>
      <c r="B29" s="119">
        <f>'benefit_cost detail'!B33</f>
        <v>2042</v>
      </c>
      <c r="C29" s="73">
        <f>'benefit_cost detail'!P33</f>
        <v>199615.46470119612</v>
      </c>
      <c r="D29" s="73">
        <f>'benefit_cost detail'!R33</f>
        <v>1782279.4078637799</v>
      </c>
      <c r="E29" s="1"/>
    </row>
    <row r="30" spans="1:5" ht="15" customHeight="1" x14ac:dyDescent="0.25">
      <c r="A30" s="117">
        <f>'benefit_cost detail'!A34</f>
        <v>29</v>
      </c>
      <c r="B30" s="119">
        <f>'benefit_cost detail'!B34</f>
        <v>2043</v>
      </c>
      <c r="C30" s="73">
        <f>'benefit_cost detail'!P34</f>
        <v>209596.23793625593</v>
      </c>
      <c r="D30" s="73">
        <f>'benefit_cost detail'!R34</f>
        <v>1886111.8981101473</v>
      </c>
    </row>
    <row r="31" spans="1:5" ht="15" customHeight="1" x14ac:dyDescent="0.25">
      <c r="A31" s="117">
        <f>'benefit_cost detail'!A35</f>
        <v>30</v>
      </c>
      <c r="B31" s="119">
        <f>'benefit_cost detail'!B35</f>
        <v>2044</v>
      </c>
      <c r="C31" s="73">
        <f>'benefit_cost detail'!P35</f>
        <v>220076.04983306871</v>
      </c>
      <c r="D31" s="73">
        <f>'benefit_cost detail'!R35</f>
        <v>1992527.0810950815</v>
      </c>
    </row>
  </sheetData>
  <mergeCells count="3">
    <mergeCell ref="A1:B1"/>
    <mergeCell ref="F2:H2"/>
    <mergeCell ref="F1:H1"/>
  </mergeCells>
  <conditionalFormatting sqref="D2:D31">
    <cfRule type="cellIs" dxfId="1" priority="6" operator="lessThan">
      <formula>$I$1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5" operator="lessThan" id="{C72E86A1-0497-47DA-822F-9C42FA6E6012}">
            <xm:f>assumptions!$B$13</xm:f>
            <x14:dxf>
              <font>
                <color rgb="FF9C0006"/>
              </font>
              <fill>
                <patternFill>
                  <bgColor rgb="FFFFC7CE"/>
                </patternFill>
              </fill>
            </x14:dxf>
          </x14:cfRule>
          <xm:sqref>D2:D31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topLeftCell="A2" zoomScale="75" zoomScaleNormal="75" workbookViewId="0">
      <selection activeCell="R4" sqref="R4"/>
    </sheetView>
  </sheetViews>
  <sheetFormatPr defaultColWidth="17.28515625" defaultRowHeight="15" customHeight="1" x14ac:dyDescent="0.25"/>
  <cols>
    <col min="1" max="1" width="14" style="57" customWidth="1"/>
    <col min="2" max="2" width="14" customWidth="1"/>
    <col min="3" max="3" width="1.7109375" customWidth="1"/>
    <col min="4" max="4" width="15.7109375" bestFit="1" customWidth="1"/>
    <col min="5" max="5" width="15.42578125" customWidth="1"/>
    <col min="6" max="6" width="16.140625" customWidth="1"/>
    <col min="7" max="7" width="1.7109375" customWidth="1"/>
    <col min="8" max="8" width="14.85546875" bestFit="1" customWidth="1"/>
    <col min="9" max="9" width="1.7109375" customWidth="1"/>
    <col min="10" max="10" width="13.140625" customWidth="1"/>
    <col min="11" max="11" width="13" customWidth="1"/>
    <col min="12" max="12" width="1.7109375" customWidth="1"/>
    <col min="13" max="13" width="14.42578125" customWidth="1"/>
    <col min="14" max="15" width="1.7109375" customWidth="1"/>
    <col min="16" max="16" width="14.85546875" customWidth="1"/>
    <col min="17" max="17" width="1.7109375" style="25" customWidth="1"/>
    <col min="18" max="18" width="16.28515625" customWidth="1"/>
  </cols>
  <sheetData>
    <row r="1" spans="1:20" ht="33" customHeight="1" thickBot="1" x14ac:dyDescent="0.3">
      <c r="B1" s="1"/>
      <c r="C1" s="1"/>
      <c r="D1" s="1"/>
      <c r="E1" s="1"/>
      <c r="F1" s="2"/>
      <c r="G1" s="1"/>
      <c r="H1" s="1"/>
      <c r="I1" s="1"/>
      <c r="J1" s="1"/>
      <c r="K1" s="1"/>
      <c r="L1" s="1"/>
      <c r="M1" s="1"/>
      <c r="N1" s="1"/>
      <c r="O1" s="1"/>
      <c r="P1" s="1"/>
      <c r="Q1" s="14"/>
    </row>
    <row r="2" spans="1:20" ht="19.5" customHeight="1" thickBot="1" x14ac:dyDescent="0.35">
      <c r="B2" s="1"/>
      <c r="C2" s="1"/>
      <c r="D2" s="147" t="s">
        <v>1</v>
      </c>
      <c r="E2" s="138"/>
      <c r="F2" s="134"/>
      <c r="G2" s="3"/>
      <c r="H2" s="3"/>
      <c r="I2" s="1"/>
      <c r="J2" s="147" t="s">
        <v>6</v>
      </c>
      <c r="K2" s="148"/>
      <c r="L2" s="3"/>
      <c r="M2" s="3"/>
      <c r="N2" s="1"/>
      <c r="O2" s="1"/>
      <c r="P2" s="151" t="s">
        <v>81</v>
      </c>
      <c r="Q2" s="152"/>
      <c r="R2" s="153"/>
    </row>
    <row r="3" spans="1:20" ht="79.5" customHeight="1" thickBot="1" x14ac:dyDescent="0.3">
      <c r="A3" s="149" t="s">
        <v>7</v>
      </c>
      <c r="B3" s="150"/>
      <c r="C3" s="7"/>
      <c r="D3" s="52" t="s">
        <v>8</v>
      </c>
      <c r="E3" s="52" t="s">
        <v>9</v>
      </c>
      <c r="F3" s="52" t="s">
        <v>10</v>
      </c>
      <c r="G3" s="54"/>
      <c r="H3" s="9" t="s">
        <v>11</v>
      </c>
      <c r="I3" s="7"/>
      <c r="J3" s="53" t="s">
        <v>12</v>
      </c>
      <c r="K3" s="52" t="s">
        <v>13</v>
      </c>
      <c r="L3" s="54"/>
      <c r="M3" s="9" t="s">
        <v>14</v>
      </c>
      <c r="N3" s="8"/>
      <c r="O3" s="8"/>
      <c r="P3" s="65" t="s">
        <v>79</v>
      </c>
      <c r="Q3" s="56"/>
      <c r="R3" s="66" t="s">
        <v>80</v>
      </c>
    </row>
    <row r="4" spans="1:20" ht="18.75" customHeight="1" x14ac:dyDescent="0.25">
      <c r="A4" s="117">
        <v>1</v>
      </c>
      <c r="B4" s="118">
        <f>assumptions!B7</f>
        <v>2015</v>
      </c>
      <c r="C4" s="55"/>
      <c r="D4" s="75">
        <f>assumptions!B25*12</f>
        <v>32400</v>
      </c>
      <c r="E4" s="75">
        <f>assumptions!B22</f>
        <v>560000</v>
      </c>
      <c r="F4" s="76">
        <v>0</v>
      </c>
      <c r="G4" s="77"/>
      <c r="H4" s="78">
        <f t="shared" ref="H4:H13" si="0">D4+F4</f>
        <v>32400</v>
      </c>
      <c r="I4" s="79"/>
      <c r="J4" s="80">
        <f>IF(AND(assumptions!$B$15&gt;0,assumptions!$B$16&gt;=1),assumptions!B14+(assumptions!$B$21*assumptions!$B$19)/assumptions!$B$16,assumptions!$B$14*(assumptions!$B$14=assumptions!$B$13))</f>
        <v>14465.460648855968</v>
      </c>
      <c r="K4" s="76">
        <f>assumptions!B23*assumptions!B22</f>
        <v>5600</v>
      </c>
      <c r="L4" s="77"/>
      <c r="M4" s="78">
        <f>K4+J4</f>
        <v>20065.460648855966</v>
      </c>
      <c r="N4" s="79"/>
      <c r="O4" s="79"/>
      <c r="P4" s="81">
        <f t="shared" ref="P4:P13" si="1">H4-M4</f>
        <v>12334.539351144034</v>
      </c>
      <c r="Q4" s="79"/>
      <c r="R4" s="82">
        <f>P4</f>
        <v>12334.539351144034</v>
      </c>
    </row>
    <row r="5" spans="1:20" ht="18.75" customHeight="1" x14ac:dyDescent="0.25">
      <c r="A5" s="117">
        <v>2</v>
      </c>
      <c r="B5" s="119">
        <f>B4+1</f>
        <v>2016</v>
      </c>
      <c r="C5" s="1"/>
      <c r="D5" s="83">
        <f>D4+(D4*assumptions!$B$26)</f>
        <v>34020</v>
      </c>
      <c r="E5" s="75">
        <f>$E$4+F5</f>
        <v>588000</v>
      </c>
      <c r="F5" s="76">
        <f>assumptions!B22*assumptions!B24</f>
        <v>28000</v>
      </c>
      <c r="G5" s="77"/>
      <c r="H5" s="78">
        <f t="shared" si="0"/>
        <v>62020</v>
      </c>
      <c r="I5" s="79"/>
      <c r="J5" s="84">
        <f>IF(AND(assumptions!$B$15&gt;0,assumptions!$B$16&gt;=2),(assumptions!$B$21*assumptions!$B$19)/assumptions!$B$16,"n/a")</f>
        <v>14465.460648855968</v>
      </c>
      <c r="K5" s="85">
        <f>E5*assumptions!$B$23</f>
        <v>5880</v>
      </c>
      <c r="L5" s="77"/>
      <c r="M5" s="78">
        <f t="shared" ref="M5:M13" si="2">IF(ISNUMBER(J5),K5+J5,K5)</f>
        <v>20345.460648855966</v>
      </c>
      <c r="N5" s="79"/>
      <c r="O5" s="79"/>
      <c r="P5" s="81">
        <f t="shared" si="1"/>
        <v>41674.539351144034</v>
      </c>
      <c r="Q5" s="79"/>
      <c r="R5" s="82">
        <f>NPV($D$37,P$4:P5)</f>
        <v>51743.24757612223</v>
      </c>
      <c r="S5" s="29"/>
      <c r="T5" s="27"/>
    </row>
    <row r="6" spans="1:20" ht="18.75" customHeight="1" x14ac:dyDescent="0.25">
      <c r="A6" s="117">
        <v>3</v>
      </c>
      <c r="B6" s="119">
        <f t="shared" ref="B6:B13" si="3">B5+1</f>
        <v>2017</v>
      </c>
      <c r="C6" s="1"/>
      <c r="D6" s="83">
        <f>D5+(D5*assumptions!$B$26)</f>
        <v>35721</v>
      </c>
      <c r="E6" s="75">
        <f t="shared" ref="E6:E13" si="4">E5+F6</f>
        <v>617400</v>
      </c>
      <c r="F6" s="85">
        <f>F5+(F5*assumptions!$B$24)</f>
        <v>29400</v>
      </c>
      <c r="G6" s="77"/>
      <c r="H6" s="78">
        <f t="shared" si="0"/>
        <v>65121</v>
      </c>
      <c r="I6" s="79"/>
      <c r="J6" s="84">
        <f>IF(AND(assumptions!$B$15&gt;0,assumptions!$B$16&gt;=3),(assumptions!$B$21*assumptions!$B$19)/assumptions!$B$16,"n/a")</f>
        <v>14465.460648855968</v>
      </c>
      <c r="K6" s="85">
        <f>E6*assumptions!$B$23</f>
        <v>6174</v>
      </c>
      <c r="L6" s="77"/>
      <c r="M6" s="78">
        <f t="shared" si="2"/>
        <v>20639.460648855966</v>
      </c>
      <c r="N6" s="79"/>
      <c r="O6" s="79"/>
      <c r="P6" s="81">
        <f t="shared" si="1"/>
        <v>44481.539351144034</v>
      </c>
      <c r="Q6" s="79"/>
      <c r="R6" s="82">
        <f>NPV($D$37,P$4:P6)</f>
        <v>93107.281881905947</v>
      </c>
      <c r="S6" s="29"/>
      <c r="T6" s="27"/>
    </row>
    <row r="7" spans="1:20" ht="18.75" customHeight="1" x14ac:dyDescent="0.25">
      <c r="A7" s="117">
        <v>4</v>
      </c>
      <c r="B7" s="119">
        <f t="shared" si="3"/>
        <v>2018</v>
      </c>
      <c r="C7" s="1"/>
      <c r="D7" s="83">
        <f>D6+(D6*assumptions!$B$26)</f>
        <v>37507.050000000003</v>
      </c>
      <c r="E7" s="75">
        <f t="shared" si="4"/>
        <v>648270</v>
      </c>
      <c r="F7" s="85">
        <f>F6+(F6*assumptions!$B$24)</f>
        <v>30870</v>
      </c>
      <c r="G7" s="77"/>
      <c r="H7" s="78">
        <f t="shared" si="0"/>
        <v>68377.05</v>
      </c>
      <c r="I7" s="79"/>
      <c r="J7" s="84">
        <f>IF(AND(assumptions!$B$15&gt;0,assumptions!$B$16&gt;=4),(assumptions!$B$21*assumptions!$B$19)/assumptions!$B$16,"n/a")</f>
        <v>14465.460648855968</v>
      </c>
      <c r="K7" s="85">
        <f>E7*assumptions!$B$23</f>
        <v>6482.7</v>
      </c>
      <c r="L7" s="77"/>
      <c r="M7" s="78">
        <f t="shared" si="2"/>
        <v>20948.160648855966</v>
      </c>
      <c r="N7" s="79"/>
      <c r="O7" s="79"/>
      <c r="P7" s="81">
        <f t="shared" si="1"/>
        <v>47428.88935114404</v>
      </c>
      <c r="Q7" s="79"/>
      <c r="R7" s="82">
        <f>NPV($D$37,P$4:P7)</f>
        <v>136156.6779659001</v>
      </c>
      <c r="S7" s="29"/>
      <c r="T7" s="27"/>
    </row>
    <row r="8" spans="1:20" ht="18.75" customHeight="1" x14ac:dyDescent="0.25">
      <c r="A8" s="117">
        <v>5</v>
      </c>
      <c r="B8" s="119">
        <f t="shared" si="3"/>
        <v>2019</v>
      </c>
      <c r="C8" s="1"/>
      <c r="D8" s="83">
        <f>D7+(D7*assumptions!$B$26)</f>
        <v>39382.402500000004</v>
      </c>
      <c r="E8" s="75">
        <f t="shared" si="4"/>
        <v>680683.5</v>
      </c>
      <c r="F8" s="85">
        <f>F7+(F7*assumptions!$B$24)</f>
        <v>32413.5</v>
      </c>
      <c r="G8" s="77"/>
      <c r="H8" s="78">
        <f t="shared" si="0"/>
        <v>71795.902499999997</v>
      </c>
      <c r="I8" s="79"/>
      <c r="J8" s="84">
        <f>IF(AND(assumptions!$B$15&gt;0,assumptions!$B$16&gt;=5),(assumptions!$B$21*assumptions!$B$19)/assumptions!$B$16,"n/a")</f>
        <v>14465.460648855968</v>
      </c>
      <c r="K8" s="85">
        <f>E8*assumptions!$B$23</f>
        <v>6806.835</v>
      </c>
      <c r="L8" s="77"/>
      <c r="M8" s="78">
        <f t="shared" si="2"/>
        <v>21272.295648855968</v>
      </c>
      <c r="N8" s="79"/>
      <c r="O8" s="79"/>
      <c r="P8" s="81">
        <f t="shared" si="1"/>
        <v>50523.606851144024</v>
      </c>
      <c r="Q8" s="79"/>
      <c r="R8" s="82">
        <f>NPV($D$37,P$4:P8)</f>
        <v>180917.64727162264</v>
      </c>
      <c r="S8" s="29"/>
      <c r="T8" s="27"/>
    </row>
    <row r="9" spans="1:20" ht="18.75" customHeight="1" x14ac:dyDescent="0.25">
      <c r="A9" s="117">
        <v>6</v>
      </c>
      <c r="B9" s="119">
        <f t="shared" si="3"/>
        <v>2020</v>
      </c>
      <c r="C9" s="1"/>
      <c r="D9" s="83">
        <f>D8+(D8*assumptions!$B$26)</f>
        <v>41351.522625000005</v>
      </c>
      <c r="E9" s="75">
        <f t="shared" si="4"/>
        <v>714717.67500000005</v>
      </c>
      <c r="F9" s="85">
        <f>F8+(F8*assumptions!$B$24)</f>
        <v>34034.175000000003</v>
      </c>
      <c r="G9" s="77"/>
      <c r="H9" s="78">
        <f t="shared" si="0"/>
        <v>75385.697625000001</v>
      </c>
      <c r="I9" s="79"/>
      <c r="J9" s="84">
        <f>IF(AND(assumptions!$B$15&gt;0,assumptions!$B$16&gt;=6),(assumptions!$B$21*assumptions!$B$19)/assumptions!$B$16,"n/a")</f>
        <v>14465.460648855968</v>
      </c>
      <c r="K9" s="85">
        <f>E9*assumptions!$B$23</f>
        <v>7147.1767500000005</v>
      </c>
      <c r="L9" s="77"/>
      <c r="M9" s="78">
        <f t="shared" si="2"/>
        <v>21612.637398855968</v>
      </c>
      <c r="N9" s="79"/>
      <c r="O9" s="79"/>
      <c r="P9" s="81">
        <f t="shared" si="1"/>
        <v>53773.060226144036</v>
      </c>
      <c r="Q9" s="79"/>
      <c r="R9" s="82">
        <f>NPV($D$37,P$4:P9)</f>
        <v>227417.42914653465</v>
      </c>
      <c r="S9" s="29"/>
      <c r="T9" s="27"/>
    </row>
    <row r="10" spans="1:20" ht="18.75" customHeight="1" x14ac:dyDescent="0.25">
      <c r="A10" s="117">
        <v>7</v>
      </c>
      <c r="B10" s="119">
        <f t="shared" si="3"/>
        <v>2021</v>
      </c>
      <c r="C10" s="1"/>
      <c r="D10" s="83">
        <f>D9+(D9*assumptions!$B$26)</f>
        <v>43419.098756250009</v>
      </c>
      <c r="E10" s="75">
        <f t="shared" si="4"/>
        <v>750453.55875000008</v>
      </c>
      <c r="F10" s="85">
        <f>F9+(F9*assumptions!$B$24)</f>
        <v>35735.883750000001</v>
      </c>
      <c r="G10" s="77"/>
      <c r="H10" s="78">
        <f t="shared" si="0"/>
        <v>79154.982506250002</v>
      </c>
      <c r="I10" s="79"/>
      <c r="J10" s="84">
        <f>IF(AND(assumptions!$B$15&gt;0,assumptions!$B$16&gt;=7),(assumptions!$B$21*assumptions!$B$19)/assumptions!$B$16,"n/a")</f>
        <v>14465.460648855968</v>
      </c>
      <c r="K10" s="85">
        <f>E10*assumptions!$B$23</f>
        <v>7504.5355875000014</v>
      </c>
      <c r="L10" s="77"/>
      <c r="M10" s="78">
        <f t="shared" si="2"/>
        <v>21969.996236355968</v>
      </c>
      <c r="N10" s="79"/>
      <c r="O10" s="79"/>
      <c r="P10" s="81">
        <f t="shared" si="1"/>
        <v>57184.986269894034</v>
      </c>
      <c r="Q10" s="79"/>
      <c r="R10" s="82">
        <f>NPV($D$37,P$4:P10)</f>
        <v>275684.3074138143</v>
      </c>
      <c r="S10" s="29"/>
      <c r="T10" s="27"/>
    </row>
    <row r="11" spans="1:20" ht="18.75" customHeight="1" x14ac:dyDescent="0.25">
      <c r="A11" s="117">
        <v>8</v>
      </c>
      <c r="B11" s="119">
        <f t="shared" si="3"/>
        <v>2022</v>
      </c>
      <c r="C11" s="1"/>
      <c r="D11" s="83">
        <f>D10+(D10*assumptions!$B$26)</f>
        <v>45590.05369406251</v>
      </c>
      <c r="E11" s="75">
        <f t="shared" si="4"/>
        <v>787976.23668750003</v>
      </c>
      <c r="F11" s="85">
        <f>F10+(F10*assumptions!$B$24)</f>
        <v>37522.677937500004</v>
      </c>
      <c r="G11" s="77"/>
      <c r="H11" s="78">
        <f t="shared" si="0"/>
        <v>83112.731631562521</v>
      </c>
      <c r="I11" s="79"/>
      <c r="J11" s="84">
        <f>IF(AND(assumptions!$B$15&gt;0,assumptions!$B$16&gt;=8),(assumptions!$B$21*assumptions!$B$19)/assumptions!$B$16,"n/a")</f>
        <v>14465.460648855968</v>
      </c>
      <c r="K11" s="85">
        <f>E11*assumptions!$B$23</f>
        <v>7879.7623668750002</v>
      </c>
      <c r="L11" s="77"/>
      <c r="M11" s="78">
        <f t="shared" si="2"/>
        <v>22345.223015730968</v>
      </c>
      <c r="N11" s="79"/>
      <c r="O11" s="79"/>
      <c r="P11" s="81">
        <f t="shared" si="1"/>
        <v>60767.508615831553</v>
      </c>
      <c r="Q11" s="79"/>
      <c r="R11" s="82">
        <f>NPV($D$37,P$4:P11)</f>
        <v>325747.62757160328</v>
      </c>
      <c r="S11" s="29"/>
      <c r="T11" s="27"/>
    </row>
    <row r="12" spans="1:20" ht="18.75" customHeight="1" x14ac:dyDescent="0.25">
      <c r="A12" s="117">
        <v>9</v>
      </c>
      <c r="B12" s="119">
        <f t="shared" si="3"/>
        <v>2023</v>
      </c>
      <c r="C12" s="1"/>
      <c r="D12" s="86">
        <f>D11+(D11*assumptions!$B$26)</f>
        <v>47869.556378765636</v>
      </c>
      <c r="E12" s="87">
        <f t="shared" si="4"/>
        <v>827375.04852187505</v>
      </c>
      <c r="F12" s="88">
        <f>F11+(F11*assumptions!$B$24)</f>
        <v>39398.811834375003</v>
      </c>
      <c r="G12" s="77"/>
      <c r="H12" s="89">
        <f t="shared" si="0"/>
        <v>87268.368213140639</v>
      </c>
      <c r="I12" s="79"/>
      <c r="J12" s="90">
        <f>IF(AND(assumptions!$B$15&gt;0,assumptions!$B$16&gt;=9),(assumptions!$B$21*assumptions!$B$19)/assumptions!$B$16,"n/a")</f>
        <v>14465.460648855968</v>
      </c>
      <c r="K12" s="88">
        <f>E12*assumptions!$B$23</f>
        <v>8273.7504852187503</v>
      </c>
      <c r="L12" s="77"/>
      <c r="M12" s="89">
        <f t="shared" si="2"/>
        <v>22739.211134074718</v>
      </c>
      <c r="N12" s="79"/>
      <c r="O12" s="79"/>
      <c r="P12" s="91">
        <f t="shared" si="1"/>
        <v>64529.157079065917</v>
      </c>
      <c r="Q12" s="79"/>
      <c r="R12" s="92">
        <f>NPV($D$37,P$4:P12)</f>
        <v>377637.81463018147</v>
      </c>
      <c r="S12" s="29"/>
      <c r="T12" s="27"/>
    </row>
    <row r="13" spans="1:20" ht="18.75" customHeight="1" x14ac:dyDescent="0.25">
      <c r="A13" s="117">
        <v>10</v>
      </c>
      <c r="B13" s="119">
        <f t="shared" si="3"/>
        <v>2024</v>
      </c>
      <c r="C13" s="1"/>
      <c r="D13" s="81">
        <f>D12+(D12*assumptions!$B$26)</f>
        <v>50263.034197703921</v>
      </c>
      <c r="E13" s="81">
        <f t="shared" si="4"/>
        <v>868743.80094796885</v>
      </c>
      <c r="F13" s="81">
        <f>F12+(F12*assumptions!$B$24)</f>
        <v>41368.75242609375</v>
      </c>
      <c r="G13" s="93"/>
      <c r="H13" s="81">
        <f t="shared" si="0"/>
        <v>91631.78662379767</v>
      </c>
      <c r="I13" s="79"/>
      <c r="J13" s="94">
        <f>IF(AND(assumptions!$B$15&gt;0,assumptions!$B$16&gt;=10),(assumptions!$B$21*assumptions!$B$19)/assumptions!$B$16,"n/a")</f>
        <v>14465.460648855968</v>
      </c>
      <c r="K13" s="81">
        <f>E13*assumptions!$B$23</f>
        <v>8687.4380094796888</v>
      </c>
      <c r="L13" s="93"/>
      <c r="M13" s="81">
        <f t="shared" si="2"/>
        <v>23152.898658335656</v>
      </c>
      <c r="N13" s="79"/>
      <c r="O13" s="79"/>
      <c r="P13" s="81">
        <f t="shared" si="1"/>
        <v>68478.88796546201</v>
      </c>
      <c r="Q13" s="79"/>
      <c r="R13" s="82">
        <f>NPV($D$37,P$4:P13)</f>
        <v>431386.39159790904</v>
      </c>
      <c r="S13" s="29"/>
      <c r="T13" s="27"/>
    </row>
    <row r="14" spans="1:20" ht="18.75" customHeight="1" x14ac:dyDescent="0.25">
      <c r="B14" s="30"/>
      <c r="C14" s="1"/>
      <c r="D14" s="79"/>
      <c r="E14" s="79"/>
      <c r="F14" s="79"/>
      <c r="G14" s="79"/>
      <c r="H14" s="95"/>
      <c r="I14" s="79"/>
      <c r="J14" s="96"/>
      <c r="K14" s="79"/>
      <c r="L14" s="79"/>
      <c r="M14" s="95"/>
      <c r="N14" s="79"/>
      <c r="O14" s="79"/>
      <c r="P14" s="79"/>
      <c r="Q14" s="79"/>
      <c r="R14" s="97"/>
      <c r="S14" s="29"/>
      <c r="T14" s="27"/>
    </row>
    <row r="15" spans="1:20" ht="18.75" customHeight="1" x14ac:dyDescent="0.25">
      <c r="A15" s="117">
        <v>11</v>
      </c>
      <c r="B15" s="119">
        <f>B13+1</f>
        <v>2025</v>
      </c>
      <c r="C15" s="1"/>
      <c r="D15" s="83">
        <f>D13+(D13*assumptions!$B$26)</f>
        <v>52776.185907589119</v>
      </c>
      <c r="E15" s="83">
        <f>E13+F15</f>
        <v>912180.99099536729</v>
      </c>
      <c r="F15" s="85">
        <f>F13+(F13*assumptions!$B$24)</f>
        <v>43437.190047398435</v>
      </c>
      <c r="G15" s="77"/>
      <c r="H15" s="98">
        <f t="shared" ref="H15:H24" si="5">D15+F15</f>
        <v>96213.375954987554</v>
      </c>
      <c r="I15" s="79"/>
      <c r="J15" s="84">
        <f>IF(AND(assumptions!$B$15&gt;0,assumptions!$B$16&gt;=11),(assumptions!$B$21*assumptions!$B$19)/assumptions!$B$16,"n/a")</f>
        <v>14465.460648855968</v>
      </c>
      <c r="K15" s="85">
        <f>E15*assumptions!$B$23</f>
        <v>9121.8099099536739</v>
      </c>
      <c r="L15" s="77"/>
      <c r="M15" s="98">
        <f t="shared" ref="M15:M24" si="6">IF(ISNUMBER(J15),K15+J15,K15)</f>
        <v>23587.270558809643</v>
      </c>
      <c r="N15" s="79"/>
      <c r="O15" s="79"/>
      <c r="P15" s="81">
        <f t="shared" ref="P15:P24" si="7">H15-M15</f>
        <v>72626.105396177911</v>
      </c>
      <c r="Q15" s="79"/>
      <c r="R15" s="82">
        <f>NPV($D$37,P$4:P15)</f>
        <v>487025.99862716597</v>
      </c>
      <c r="S15" s="29"/>
      <c r="T15" s="27"/>
    </row>
    <row r="16" spans="1:20" ht="18.75" customHeight="1" x14ac:dyDescent="0.25">
      <c r="A16" s="117">
        <v>12</v>
      </c>
      <c r="B16" s="119">
        <f>B15+1</f>
        <v>2026</v>
      </c>
      <c r="C16" s="1"/>
      <c r="D16" s="83">
        <f>D15+(D15*assumptions!$B$26)</f>
        <v>55414.995202968574</v>
      </c>
      <c r="E16" s="83">
        <f t="shared" ref="E16:E24" si="8">E15+F16</f>
        <v>957790.04054513562</v>
      </c>
      <c r="F16" s="85">
        <f>F15+(F15*assumptions!$B$24)</f>
        <v>45609.049549768359</v>
      </c>
      <c r="G16" s="77"/>
      <c r="H16" s="78">
        <f t="shared" si="5"/>
        <v>101024.04475273693</v>
      </c>
      <c r="I16" s="79"/>
      <c r="J16" s="84">
        <f>IF(AND(assumptions!$B$15&gt;0,assumptions!$B$16&gt;=12),(assumptions!$B$21*assumptions!$B$19)/assumptions!$B$16,"n/a")</f>
        <v>14465.460648855968</v>
      </c>
      <c r="K16" s="85">
        <f>E16*assumptions!$B$23</f>
        <v>9577.9004054513571</v>
      </c>
      <c r="L16" s="77"/>
      <c r="M16" s="78">
        <f t="shared" si="6"/>
        <v>24043.361054307323</v>
      </c>
      <c r="N16" s="79"/>
      <c r="O16" s="79"/>
      <c r="P16" s="81">
        <f t="shared" si="7"/>
        <v>76980.68369842961</v>
      </c>
      <c r="Q16" s="79"/>
      <c r="R16" s="82">
        <f>NPV($D$37,P$4:P16)</f>
        <v>544590.41283191508</v>
      </c>
      <c r="S16" s="29"/>
      <c r="T16" s="27"/>
    </row>
    <row r="17" spans="1:20" ht="18.75" customHeight="1" x14ac:dyDescent="0.25">
      <c r="A17" s="117">
        <v>13</v>
      </c>
      <c r="B17" s="119">
        <f t="shared" ref="B17:B24" si="9">B16+1</f>
        <v>2027</v>
      </c>
      <c r="C17" s="1"/>
      <c r="D17" s="83">
        <f>D16+(D16*assumptions!$B$26)</f>
        <v>58185.744963117002</v>
      </c>
      <c r="E17" s="83">
        <f t="shared" si="8"/>
        <v>1005679.5425723924</v>
      </c>
      <c r="F17" s="85">
        <f>F16+(F16*assumptions!$B$24)</f>
        <v>47889.502027256778</v>
      </c>
      <c r="G17" s="77"/>
      <c r="H17" s="78">
        <f t="shared" si="5"/>
        <v>106075.24699037378</v>
      </c>
      <c r="I17" s="79"/>
      <c r="J17" s="84">
        <f>IF(AND(assumptions!$B$15&gt;0,assumptions!$B$16&gt;=13),(assumptions!$B$21*assumptions!$B$19)/assumptions!$B$16,"n/a")</f>
        <v>14465.460648855968</v>
      </c>
      <c r="K17" s="85">
        <f>E17*assumptions!$B$23</f>
        <v>10056.795425723923</v>
      </c>
      <c r="L17" s="77"/>
      <c r="M17" s="78">
        <f t="shared" si="6"/>
        <v>24522.256074579891</v>
      </c>
      <c r="N17" s="79"/>
      <c r="O17" s="79"/>
      <c r="P17" s="81">
        <f t="shared" si="7"/>
        <v>81552.990915793896</v>
      </c>
      <c r="Q17" s="79"/>
      <c r="R17" s="82">
        <f>NPV($D$37,P$4:P17)</f>
        <v>604114.56878891785</v>
      </c>
      <c r="S17" s="29"/>
      <c r="T17" s="27"/>
    </row>
    <row r="18" spans="1:20" ht="18.75" customHeight="1" x14ac:dyDescent="0.25">
      <c r="A18" s="117">
        <v>14</v>
      </c>
      <c r="B18" s="119">
        <f t="shared" si="9"/>
        <v>2028</v>
      </c>
      <c r="C18" s="1"/>
      <c r="D18" s="83">
        <f>D17+(D17*assumptions!$B$26)</f>
        <v>61095.032211272854</v>
      </c>
      <c r="E18" s="83">
        <f t="shared" si="8"/>
        <v>1055963.5197010119</v>
      </c>
      <c r="F18" s="85">
        <f>F17+(F17*assumptions!$B$24)</f>
        <v>50283.977128619619</v>
      </c>
      <c r="G18" s="77"/>
      <c r="H18" s="78">
        <f t="shared" si="5"/>
        <v>111379.00933989248</v>
      </c>
      <c r="I18" s="79"/>
      <c r="J18" s="84">
        <f>IF(AND(assumptions!$B$15&gt;0,assumptions!$B$16&gt;=14),(assumptions!$B$21*assumptions!$B$19)/assumptions!$B$16,"n/a")</f>
        <v>14465.460648855968</v>
      </c>
      <c r="K18" s="85">
        <f>E18*assumptions!$B$23</f>
        <v>10559.63519701012</v>
      </c>
      <c r="L18" s="77"/>
      <c r="M18" s="78">
        <f t="shared" si="6"/>
        <v>25025.09584586609</v>
      </c>
      <c r="N18" s="79"/>
      <c r="O18" s="79"/>
      <c r="P18" s="81">
        <f t="shared" si="7"/>
        <v>86353.91349402639</v>
      </c>
      <c r="Q18" s="79"/>
      <c r="R18" s="82">
        <f>NPV($D$37,P$4:P18)</f>
        <v>665634.57973504486</v>
      </c>
      <c r="S18" s="29"/>
      <c r="T18" s="27"/>
    </row>
    <row r="19" spans="1:20" ht="18.75" customHeight="1" x14ac:dyDescent="0.25">
      <c r="A19" s="117">
        <v>15</v>
      </c>
      <c r="B19" s="119">
        <f t="shared" si="9"/>
        <v>2029</v>
      </c>
      <c r="C19" s="1"/>
      <c r="D19" s="83">
        <f>D18+(D18*assumptions!$B$26)</f>
        <v>64149.7838218365</v>
      </c>
      <c r="E19" s="83">
        <f t="shared" si="8"/>
        <v>1108761.6956860626</v>
      </c>
      <c r="F19" s="85">
        <f>F18+(F18*assumptions!$B$24)</f>
        <v>52798.175985050599</v>
      </c>
      <c r="G19" s="77"/>
      <c r="H19" s="78">
        <f t="shared" si="5"/>
        <v>116947.9598068871</v>
      </c>
      <c r="I19" s="79"/>
      <c r="J19" s="84">
        <f>IF(AND(assumptions!$B$15&gt;0,assumptions!$B$16&gt;=15),(assumptions!$B$21*assumptions!$B$19)/assumptions!$B$16,"n/a")</f>
        <v>14465.460648855968</v>
      </c>
      <c r="K19" s="85">
        <f>E19*assumptions!$B$23</f>
        <v>11087.616956860626</v>
      </c>
      <c r="L19" s="77"/>
      <c r="M19" s="78">
        <f t="shared" si="6"/>
        <v>25553.077605716593</v>
      </c>
      <c r="N19" s="79"/>
      <c r="O19" s="79"/>
      <c r="P19" s="81">
        <f t="shared" si="7"/>
        <v>91394.882201170505</v>
      </c>
      <c r="Q19" s="79"/>
      <c r="R19" s="82">
        <f>NPV($D$37,P$4:P19)</f>
        <v>729187.75947354012</v>
      </c>
      <c r="S19" s="29"/>
      <c r="T19" s="27"/>
    </row>
    <row r="20" spans="1:20" ht="18.75" customHeight="1" x14ac:dyDescent="0.25">
      <c r="A20" s="117">
        <v>16</v>
      </c>
      <c r="B20" s="119">
        <f t="shared" si="9"/>
        <v>2030</v>
      </c>
      <c r="C20" s="1"/>
      <c r="D20" s="83">
        <f>D19+(D19*assumptions!$B$26)</f>
        <v>67357.27301292833</v>
      </c>
      <c r="E20" s="83">
        <f t="shared" si="8"/>
        <v>1164199.7804703657</v>
      </c>
      <c r="F20" s="85">
        <f>F19+(F19*assumptions!$B$24)</f>
        <v>55438.08478430313</v>
      </c>
      <c r="G20" s="77"/>
      <c r="H20" s="78">
        <f t="shared" si="5"/>
        <v>122795.35779723147</v>
      </c>
      <c r="I20" s="79"/>
      <c r="J20" s="84">
        <f>IF(AND(assumptions!$B$15&gt;0,assumptions!$B$16&gt;=16),(assumptions!$B$21*assumptions!$B$19)/assumptions!$B$16,"n/a")</f>
        <v>14465.460648855968</v>
      </c>
      <c r="K20" s="85">
        <f>E20*assumptions!$B$23</f>
        <v>11641.997804703657</v>
      </c>
      <c r="L20" s="77"/>
      <c r="M20" s="78">
        <f t="shared" si="6"/>
        <v>26107.458453559622</v>
      </c>
      <c r="N20" s="79"/>
      <c r="O20" s="79"/>
      <c r="P20" s="81">
        <f t="shared" si="7"/>
        <v>96687.899343671845</v>
      </c>
      <c r="Q20" s="79"/>
      <c r="R20" s="82">
        <f>NPV($D$37,P$4:P20)</f>
        <v>794812.645002526</v>
      </c>
      <c r="S20" s="29"/>
      <c r="T20" s="27"/>
    </row>
    <row r="21" spans="1:20" ht="18.75" customHeight="1" x14ac:dyDescent="0.25">
      <c r="A21" s="117">
        <v>17</v>
      </c>
      <c r="B21" s="119">
        <f t="shared" si="9"/>
        <v>2031</v>
      </c>
      <c r="C21" s="1"/>
      <c r="D21" s="83">
        <f>D20+(D20*assumptions!$B$26)</f>
        <v>70725.13666357474</v>
      </c>
      <c r="E21" s="83">
        <f t="shared" si="8"/>
        <v>1222409.7694938839</v>
      </c>
      <c r="F21" s="85">
        <f>F20+(F20*assumptions!$B$24)</f>
        <v>58209.989023518283</v>
      </c>
      <c r="G21" s="77"/>
      <c r="H21" s="78">
        <f t="shared" si="5"/>
        <v>128935.12568709302</v>
      </c>
      <c r="I21" s="79"/>
      <c r="J21" s="84">
        <f>IF(AND(assumptions!$B$15&gt;0,assumptions!$B$16&gt;=17),(assumptions!$B$21*assumptions!$B$19)/assumptions!$B$16,"n/a")</f>
        <v>14465.460648855968</v>
      </c>
      <c r="K21" s="85">
        <f>E21*assumptions!$B$23</f>
        <v>12224.097694938841</v>
      </c>
      <c r="L21" s="77"/>
      <c r="M21" s="78">
        <f t="shared" si="6"/>
        <v>26689.558343794808</v>
      </c>
      <c r="N21" s="79"/>
      <c r="O21" s="79"/>
      <c r="P21" s="81">
        <f t="shared" si="7"/>
        <v>102245.56734329821</v>
      </c>
      <c r="Q21" s="79"/>
      <c r="R21" s="82">
        <f>NPV($D$37,P$4:P21)</f>
        <v>862549.0198794693</v>
      </c>
      <c r="S21" s="29"/>
      <c r="T21" s="27"/>
    </row>
    <row r="22" spans="1:20" ht="18.75" customHeight="1" x14ac:dyDescent="0.25">
      <c r="A22" s="117">
        <v>18</v>
      </c>
      <c r="B22" s="119">
        <f t="shared" si="9"/>
        <v>2032</v>
      </c>
      <c r="C22" s="1"/>
      <c r="D22" s="83">
        <f>D21+(D21*assumptions!$B$26)</f>
        <v>74261.393496753473</v>
      </c>
      <c r="E22" s="83">
        <f t="shared" si="8"/>
        <v>1283530.257968578</v>
      </c>
      <c r="F22" s="85">
        <f>F21+(F21*assumptions!$B$24)</f>
        <v>61120.488474694197</v>
      </c>
      <c r="G22" s="77"/>
      <c r="H22" s="78">
        <f t="shared" si="5"/>
        <v>135381.88197144767</v>
      </c>
      <c r="I22" s="79"/>
      <c r="J22" s="84">
        <f>IF(AND(assumptions!$B$15&gt;0,assumptions!$B$16&gt;=18),(assumptions!$B$21*assumptions!$B$19)/assumptions!$B$16,"n/a")</f>
        <v>14465.460648855968</v>
      </c>
      <c r="K22" s="85">
        <f>E22*assumptions!$B$23</f>
        <v>12835.30257968578</v>
      </c>
      <c r="L22" s="77"/>
      <c r="M22" s="78">
        <f t="shared" si="6"/>
        <v>27300.763228541749</v>
      </c>
      <c r="N22" s="79"/>
      <c r="O22" s="79"/>
      <c r="P22" s="81">
        <f t="shared" si="7"/>
        <v>108081.11874290592</v>
      </c>
      <c r="Q22" s="79"/>
      <c r="R22" s="82">
        <f>NPV($D$37,P$4:P22)</f>
        <v>932437.93833577167</v>
      </c>
      <c r="S22" s="29"/>
      <c r="T22" s="27"/>
    </row>
    <row r="23" spans="1:20" ht="18.75" customHeight="1" x14ac:dyDescent="0.25">
      <c r="A23" s="117">
        <v>19</v>
      </c>
      <c r="B23" s="119">
        <f t="shared" si="9"/>
        <v>2033</v>
      </c>
      <c r="C23" s="1"/>
      <c r="D23" s="86">
        <f>D22+(D22*assumptions!$B$26)</f>
        <v>77974.463171591153</v>
      </c>
      <c r="E23" s="86">
        <f t="shared" si="8"/>
        <v>1347706.7708670069</v>
      </c>
      <c r="F23" s="88">
        <f>F22+(F22*assumptions!$B$24)</f>
        <v>64176.512898428904</v>
      </c>
      <c r="G23" s="77"/>
      <c r="H23" s="89">
        <f t="shared" si="5"/>
        <v>142150.97607002006</v>
      </c>
      <c r="I23" s="79"/>
      <c r="J23" s="90">
        <f>IF(AND(assumptions!$B$15&gt;0,assumptions!$B$16&gt;=19),(assumptions!$B$21*assumptions!$B$19)/assumptions!$B$16,"n/a")</f>
        <v>14465.460648855968</v>
      </c>
      <c r="K23" s="88">
        <f>E23*assumptions!$B$23</f>
        <v>13477.067708670069</v>
      </c>
      <c r="L23" s="77"/>
      <c r="M23" s="89">
        <f t="shared" si="6"/>
        <v>27942.528357526036</v>
      </c>
      <c r="N23" s="79"/>
      <c r="O23" s="79"/>
      <c r="P23" s="91">
        <f t="shared" si="7"/>
        <v>114208.44771249402</v>
      </c>
      <c r="Q23" s="79"/>
      <c r="R23" s="92">
        <f>NPV($D$37,P$4:P23)</f>
        <v>1004521.7501561</v>
      </c>
      <c r="S23" s="29"/>
      <c r="T23" s="27"/>
    </row>
    <row r="24" spans="1:20" ht="18.75" customHeight="1" x14ac:dyDescent="0.25">
      <c r="A24" s="117">
        <v>20</v>
      </c>
      <c r="B24" s="119">
        <f t="shared" si="9"/>
        <v>2034</v>
      </c>
      <c r="C24" s="1"/>
      <c r="D24" s="81">
        <f>D23+(D23*assumptions!$B$26)</f>
        <v>81873.186330170705</v>
      </c>
      <c r="E24" s="81">
        <f t="shared" si="8"/>
        <v>1415092.1094103572</v>
      </c>
      <c r="F24" s="81">
        <f>F23+(F23*assumptions!$B$24)</f>
        <v>67385.338543350343</v>
      </c>
      <c r="G24" s="93"/>
      <c r="H24" s="81">
        <f t="shared" si="5"/>
        <v>149258.52487352106</v>
      </c>
      <c r="I24" s="79"/>
      <c r="J24" s="94">
        <f>IF(AND(assumptions!$B$15&gt;0,assumptions!$B$16&gt;=20),(assumptions!$B$21*assumptions!$B$19)/assumptions!$B$16,"n/a")</f>
        <v>14465.460648855968</v>
      </c>
      <c r="K24" s="81">
        <f>E24*assumptions!$B$23</f>
        <v>14150.921094103573</v>
      </c>
      <c r="L24" s="93"/>
      <c r="M24" s="81">
        <f t="shared" si="6"/>
        <v>28616.38174295954</v>
      </c>
      <c r="N24" s="79"/>
      <c r="O24" s="79"/>
      <c r="P24" s="81">
        <f t="shared" si="7"/>
        <v>120642.14313056153</v>
      </c>
      <c r="Q24" s="79"/>
      <c r="R24" s="82">
        <f>NPV($D$37,P$4:P24)</f>
        <v>1078844.1263375315</v>
      </c>
      <c r="S24" s="29"/>
      <c r="T24" s="27"/>
    </row>
    <row r="25" spans="1:20" ht="18.75" customHeight="1" x14ac:dyDescent="0.25">
      <c r="B25" s="30"/>
      <c r="C25" s="1"/>
      <c r="D25" s="79"/>
      <c r="E25" s="79"/>
      <c r="F25" s="79"/>
      <c r="G25" s="79"/>
      <c r="H25" s="95"/>
      <c r="I25" s="79"/>
      <c r="J25" s="96"/>
      <c r="K25" s="79"/>
      <c r="L25" s="79"/>
      <c r="M25" s="95"/>
      <c r="N25" s="79"/>
      <c r="O25" s="79"/>
      <c r="P25" s="79"/>
      <c r="Q25" s="79"/>
      <c r="R25" s="97"/>
      <c r="S25" s="29"/>
      <c r="T25" s="27"/>
    </row>
    <row r="26" spans="1:20" ht="18.75" customHeight="1" x14ac:dyDescent="0.25">
      <c r="A26" s="117">
        <v>21</v>
      </c>
      <c r="B26" s="119">
        <f>B24+1</f>
        <v>2035</v>
      </c>
      <c r="C26" s="1"/>
      <c r="D26" s="83">
        <f>D24+(D24*assumptions!$B$26)</f>
        <v>85966.845646679241</v>
      </c>
      <c r="E26" s="83">
        <f>E24+F26</f>
        <v>1485846.7148808751</v>
      </c>
      <c r="F26" s="85">
        <f>F24+(F24*assumptions!$B$24)</f>
        <v>70754.605470517854</v>
      </c>
      <c r="G26" s="77"/>
      <c r="H26" s="98">
        <f t="shared" ref="H26:H35" si="10">D26+F26</f>
        <v>156721.45111719711</v>
      </c>
      <c r="I26" s="79"/>
      <c r="J26" s="84">
        <f>IF(AND(assumptions!$B$15&gt;0,assumptions!$B$16&gt;=21),(assumptions!$B$21*assumptions!$B$19)/assumptions!$B$16,"n/a")</f>
        <v>14465.460648855968</v>
      </c>
      <c r="K26" s="85">
        <f>E26*assumptions!$B$23</f>
        <v>14858.467148808752</v>
      </c>
      <c r="L26" s="77"/>
      <c r="M26" s="98">
        <f t="shared" ref="M26:M35" si="11">IF(ISNUMBER(J26),K26+J26,K26)</f>
        <v>29323.927797664721</v>
      </c>
      <c r="N26" s="79"/>
      <c r="O26" s="79"/>
      <c r="P26" s="81">
        <f t="shared" ref="P26:P35" si="12">H26-M26</f>
        <v>127397.5233195324</v>
      </c>
      <c r="Q26" s="79"/>
      <c r="R26" s="82">
        <f>NPV($D$37,P$4:P26)</f>
        <v>1155450.0855440593</v>
      </c>
      <c r="S26" s="29"/>
      <c r="T26" s="27"/>
    </row>
    <row r="27" spans="1:20" ht="18.75" customHeight="1" x14ac:dyDescent="0.25">
      <c r="A27" s="117">
        <v>22</v>
      </c>
      <c r="B27" s="119">
        <f>B26+1</f>
        <v>2036</v>
      </c>
      <c r="C27" s="1"/>
      <c r="D27" s="83">
        <f>D26+(D26*assumptions!$B$26)</f>
        <v>90265.187929013206</v>
      </c>
      <c r="E27" s="83">
        <f t="shared" ref="E27:E35" si="13">E26+F27</f>
        <v>1560139.0506249189</v>
      </c>
      <c r="F27" s="85">
        <f>F26+(F26*assumptions!$B$26)</f>
        <v>74292.335744043754</v>
      </c>
      <c r="G27" s="77"/>
      <c r="H27" s="78">
        <f t="shared" si="10"/>
        <v>164557.52367305697</v>
      </c>
      <c r="I27" s="79"/>
      <c r="J27" s="84">
        <f>IF(AND(assumptions!$B$15&gt;0,assumptions!$B$16&gt;=22),(assumptions!$B$21*assumptions!$B$19)/assumptions!$B$16,"n/a")</f>
        <v>14465.460648855968</v>
      </c>
      <c r="K27" s="85">
        <f>E27*assumptions!$B$23</f>
        <v>15601.390506249189</v>
      </c>
      <c r="L27" s="77"/>
      <c r="M27" s="78">
        <f t="shared" si="11"/>
        <v>30066.851155105156</v>
      </c>
      <c r="N27" s="79"/>
      <c r="O27" s="79"/>
      <c r="P27" s="81">
        <f t="shared" si="12"/>
        <v>134490.67251795181</v>
      </c>
      <c r="Q27" s="79"/>
      <c r="R27" s="82">
        <f>NPV($D$37,P$4:P27)</f>
        <v>1234386.0213724801</v>
      </c>
      <c r="S27" s="29"/>
      <c r="T27" s="27"/>
    </row>
    <row r="28" spans="1:20" ht="18.75" customHeight="1" x14ac:dyDescent="0.25">
      <c r="A28" s="117">
        <v>23</v>
      </c>
      <c r="B28" s="119">
        <f t="shared" ref="B28:B35" si="14">B27+1</f>
        <v>2037</v>
      </c>
      <c r="C28" s="1"/>
      <c r="D28" s="83">
        <f>D27+(D27*assumptions!$B$26)</f>
        <v>94778.447325463872</v>
      </c>
      <c r="E28" s="83">
        <f t="shared" si="13"/>
        <v>1638146.0031561649</v>
      </c>
      <c r="F28" s="85">
        <f>F27+(F27*assumptions!$B$26)</f>
        <v>78006.952531245945</v>
      </c>
      <c r="G28" s="77"/>
      <c r="H28" s="78">
        <f t="shared" si="10"/>
        <v>172785.39985670982</v>
      </c>
      <c r="I28" s="79"/>
      <c r="J28" s="84">
        <f>IF(AND(assumptions!$B$15&gt;0,assumptions!$B$16&gt;=23),(assumptions!$B$21*assumptions!$B$19)/assumptions!$B$16,"n/a")</f>
        <v>14465.460648855968</v>
      </c>
      <c r="K28" s="85">
        <f>E28*assumptions!$B$23</f>
        <v>16381.46003156165</v>
      </c>
      <c r="L28" s="77"/>
      <c r="M28" s="78">
        <f t="shared" si="11"/>
        <v>30846.920680417617</v>
      </c>
      <c r="N28" s="79"/>
      <c r="O28" s="79"/>
      <c r="P28" s="81">
        <f t="shared" si="12"/>
        <v>141938.4791762922</v>
      </c>
      <c r="Q28" s="79"/>
      <c r="R28" s="82">
        <f>NPV($D$37,P$4:P28)</f>
        <v>1315699.7304461785</v>
      </c>
      <c r="S28" s="29"/>
      <c r="T28" s="27"/>
    </row>
    <row r="29" spans="1:20" ht="18.75" customHeight="1" x14ac:dyDescent="0.25">
      <c r="A29" s="117">
        <v>24</v>
      </c>
      <c r="B29" s="119">
        <f t="shared" si="14"/>
        <v>2038</v>
      </c>
      <c r="C29" s="1"/>
      <c r="D29" s="83">
        <f>D28+(D28*assumptions!$B$26)</f>
        <v>99517.369691737069</v>
      </c>
      <c r="E29" s="83">
        <f t="shared" si="13"/>
        <v>1720053.3033139731</v>
      </c>
      <c r="F29" s="85">
        <f>F28+(F28*assumptions!$B$26)</f>
        <v>81907.300157808248</v>
      </c>
      <c r="G29" s="77"/>
      <c r="H29" s="78">
        <f t="shared" si="10"/>
        <v>181424.66984954532</v>
      </c>
      <c r="I29" s="79"/>
      <c r="J29" s="84">
        <f>IF(AND(assumptions!$B$15&gt;0,assumptions!$B$16&gt;=24),(assumptions!$B$21*assumptions!$B$19)/assumptions!$B$16,"n/a")</f>
        <v>14465.460648855968</v>
      </c>
      <c r="K29" s="85">
        <f>E29*assumptions!$B$23</f>
        <v>17200.533033139731</v>
      </c>
      <c r="L29" s="77"/>
      <c r="M29" s="78">
        <f t="shared" si="11"/>
        <v>31665.9936819957</v>
      </c>
      <c r="N29" s="79"/>
      <c r="O29" s="79"/>
      <c r="P29" s="81">
        <f t="shared" si="12"/>
        <v>149758.67616754962</v>
      </c>
      <c r="Q29" s="79"/>
      <c r="R29" s="82">
        <f>NPV($D$37,P$4:P29)</f>
        <v>1399440.4413538165</v>
      </c>
      <c r="S29" s="29"/>
      <c r="T29" s="27"/>
    </row>
    <row r="30" spans="1:20" ht="18.75" customHeight="1" x14ac:dyDescent="0.25">
      <c r="A30" s="117">
        <v>25</v>
      </c>
      <c r="B30" s="119">
        <f t="shared" si="14"/>
        <v>2039</v>
      </c>
      <c r="C30" s="1"/>
      <c r="D30" s="83">
        <f>D29+(D29*assumptions!$B$26)</f>
        <v>104493.23817632392</v>
      </c>
      <c r="E30" s="83">
        <f t="shared" si="13"/>
        <v>1806055.9684796717</v>
      </c>
      <c r="F30" s="85">
        <f>F29+(F29*assumptions!$B$26)</f>
        <v>86002.665165698665</v>
      </c>
      <c r="G30" s="77"/>
      <c r="H30" s="78">
        <f t="shared" si="10"/>
        <v>190495.90334202259</v>
      </c>
      <c r="I30" s="79"/>
      <c r="J30" s="84">
        <f>IF(AND(assumptions!$B$15&gt;0,assumptions!$B$16&gt;=25),(assumptions!$B$21*assumptions!$B$19)/assumptions!$B$16,"n/a")</f>
        <v>14465.460648855968</v>
      </c>
      <c r="K30" s="85">
        <f>E30*assumptions!$B$23</f>
        <v>18060.559684796717</v>
      </c>
      <c r="L30" s="77"/>
      <c r="M30" s="78">
        <f t="shared" si="11"/>
        <v>32526.020333652683</v>
      </c>
      <c r="N30" s="79"/>
      <c r="O30" s="79"/>
      <c r="P30" s="81">
        <f t="shared" si="12"/>
        <v>157969.88300836991</v>
      </c>
      <c r="Q30" s="79"/>
      <c r="R30" s="82">
        <f>NPV($D$37,P$4:P30)</f>
        <v>1485658.8444504491</v>
      </c>
      <c r="S30" s="29"/>
      <c r="T30" s="27"/>
    </row>
    <row r="31" spans="1:20" ht="18.75" customHeight="1" x14ac:dyDescent="0.25">
      <c r="A31" s="117">
        <v>26</v>
      </c>
      <c r="B31" s="119">
        <f t="shared" si="14"/>
        <v>2040</v>
      </c>
      <c r="C31" s="1"/>
      <c r="D31" s="83">
        <f>D30+(D30*assumptions!$B$26)</f>
        <v>109717.90008514012</v>
      </c>
      <c r="E31" s="83">
        <f t="shared" si="13"/>
        <v>1896358.7669036554</v>
      </c>
      <c r="F31" s="85">
        <f>F30+(F30*assumptions!$B$26)</f>
        <v>90302.798423983593</v>
      </c>
      <c r="G31" s="77"/>
      <c r="H31" s="78">
        <f t="shared" si="10"/>
        <v>200020.6985091237</v>
      </c>
      <c r="I31" s="79"/>
      <c r="J31" s="84" t="str">
        <f>IF(AND(assumptions!$B$15&gt;0,assumptions!$B$16&gt;=26),(assumptions!$B$21*assumptions!$B$19)/assumptions!$B$16,"n/a")</f>
        <v>n/a</v>
      </c>
      <c r="K31" s="85">
        <f>E31*assumptions!$B$23</f>
        <v>18963.587669036555</v>
      </c>
      <c r="L31" s="77"/>
      <c r="M31" s="78">
        <f t="shared" si="11"/>
        <v>18963.587669036555</v>
      </c>
      <c r="N31" s="79"/>
      <c r="O31" s="79"/>
      <c r="P31" s="81">
        <f t="shared" si="12"/>
        <v>181057.11084008715</v>
      </c>
      <c r="Q31" s="79"/>
      <c r="R31" s="82">
        <f>NPV($D$37,P$4:P31)</f>
        <v>1582113.2994265498</v>
      </c>
      <c r="S31" s="29"/>
      <c r="T31" s="27"/>
    </row>
    <row r="32" spans="1:20" ht="18.75" customHeight="1" x14ac:dyDescent="0.25">
      <c r="A32" s="117">
        <v>27</v>
      </c>
      <c r="B32" s="119">
        <f t="shared" si="14"/>
        <v>2041</v>
      </c>
      <c r="C32" s="1"/>
      <c r="D32" s="83">
        <f>D31+(D31*assumptions!$B$26)</f>
        <v>115203.79508939713</v>
      </c>
      <c r="E32" s="83">
        <f t="shared" si="13"/>
        <v>1991176.7052488381</v>
      </c>
      <c r="F32" s="85">
        <f>F31+(F31*assumptions!$B$26)</f>
        <v>94817.938345182774</v>
      </c>
      <c r="G32" s="77"/>
      <c r="H32" s="78">
        <f t="shared" si="10"/>
        <v>210021.73343457992</v>
      </c>
      <c r="I32" s="79"/>
      <c r="J32" s="84" t="str">
        <f>IF(AND(assumptions!$B$15&gt;0,assumptions!$B$16&gt;=27),(assumptions!$B$21*assumptions!$B$19)/assumptions!$B$16,"n/a")</f>
        <v>n/a</v>
      </c>
      <c r="K32" s="85">
        <f>E32*assumptions!$B$23</f>
        <v>19911.76705248838</v>
      </c>
      <c r="L32" s="77"/>
      <c r="M32" s="78">
        <f t="shared" si="11"/>
        <v>19911.76705248838</v>
      </c>
      <c r="N32" s="79"/>
      <c r="O32" s="79"/>
      <c r="P32" s="81">
        <f t="shared" si="12"/>
        <v>190109.96638209154</v>
      </c>
      <c r="Q32" s="79"/>
      <c r="R32" s="82">
        <f>NPV($D$37,P$4:P32)</f>
        <v>1680966.9284942874</v>
      </c>
      <c r="S32" s="29"/>
      <c r="T32" s="27"/>
    </row>
    <row r="33" spans="1:20" ht="18.75" customHeight="1" x14ac:dyDescent="0.25">
      <c r="A33" s="117">
        <v>28</v>
      </c>
      <c r="B33" s="119">
        <f t="shared" si="14"/>
        <v>2042</v>
      </c>
      <c r="C33" s="1"/>
      <c r="D33" s="83">
        <f>D32+(D32*assumptions!$B$26)</f>
        <v>120963.98484386699</v>
      </c>
      <c r="E33" s="83">
        <f t="shared" si="13"/>
        <v>2090735.5405112801</v>
      </c>
      <c r="F33" s="85">
        <f>F32+(F32*assumptions!$B$26)</f>
        <v>99558.83526244192</v>
      </c>
      <c r="G33" s="77"/>
      <c r="H33" s="78">
        <f t="shared" si="10"/>
        <v>220522.82010630891</v>
      </c>
      <c r="I33" s="79"/>
      <c r="J33" s="84" t="str">
        <f>IF(AND(assumptions!$B$15&gt;0,assumptions!$B$16&gt;=28),(assumptions!$B$21*assumptions!$B$19)/assumptions!$B$16,"n/a")</f>
        <v>n/a</v>
      </c>
      <c r="K33" s="85">
        <f>E33*assumptions!$B$23</f>
        <v>20907.355405112801</v>
      </c>
      <c r="L33" s="77"/>
      <c r="M33" s="78">
        <f t="shared" si="11"/>
        <v>20907.355405112801</v>
      </c>
      <c r="N33" s="79"/>
      <c r="O33" s="79"/>
      <c r="P33" s="81">
        <f t="shared" si="12"/>
        <v>199615.46470119612</v>
      </c>
      <c r="Q33" s="79"/>
      <c r="R33" s="82">
        <f>NPV($D$37,P$4:P33)</f>
        <v>1782279.4078637799</v>
      </c>
      <c r="S33" s="29"/>
      <c r="T33" s="27"/>
    </row>
    <row r="34" spans="1:20" ht="18.75" customHeight="1" x14ac:dyDescent="0.25">
      <c r="A34" s="117">
        <v>29</v>
      </c>
      <c r="B34" s="119">
        <f t="shared" si="14"/>
        <v>2043</v>
      </c>
      <c r="C34" s="1"/>
      <c r="D34" s="86">
        <f>D33+(D33*assumptions!$B$26)</f>
        <v>127012.18408606034</v>
      </c>
      <c r="E34" s="86">
        <f t="shared" si="13"/>
        <v>2195272.3175368439</v>
      </c>
      <c r="F34" s="88">
        <f>F33+(F33*assumptions!$B$26)</f>
        <v>104536.77702556402</v>
      </c>
      <c r="G34" s="77"/>
      <c r="H34" s="89">
        <f t="shared" si="10"/>
        <v>231548.96111162438</v>
      </c>
      <c r="I34" s="79"/>
      <c r="J34" s="90" t="str">
        <f>IF(AND(assumptions!$B$15&gt;0,assumptions!$B$16&gt;=29),(assumptions!$B$21*assumptions!$B$19)/assumptions!$B$16,"n/a")</f>
        <v>n/a</v>
      </c>
      <c r="K34" s="88">
        <f>E34*assumptions!$B$23</f>
        <v>21952.723175368439</v>
      </c>
      <c r="L34" s="77"/>
      <c r="M34" s="89">
        <f t="shared" si="11"/>
        <v>21952.723175368439</v>
      </c>
      <c r="N34" s="79"/>
      <c r="O34" s="79"/>
      <c r="P34" s="91">
        <f t="shared" si="12"/>
        <v>209596.23793625593</v>
      </c>
      <c r="Q34" s="79"/>
      <c r="R34" s="92">
        <f>NPV($D$37,P$4:P34)</f>
        <v>1886111.8981101473</v>
      </c>
      <c r="S34" s="29"/>
      <c r="T34" s="27"/>
    </row>
    <row r="35" spans="1:20" ht="18.75" customHeight="1" x14ac:dyDescent="0.25">
      <c r="A35" s="117">
        <v>30</v>
      </c>
      <c r="B35" s="119">
        <f t="shared" si="14"/>
        <v>2044</v>
      </c>
      <c r="C35" s="1"/>
      <c r="D35" s="81">
        <f>D34+(D34*assumptions!$B$26)</f>
        <v>133362.79329036336</v>
      </c>
      <c r="E35" s="81">
        <f t="shared" si="13"/>
        <v>2305035.9334136862</v>
      </c>
      <c r="F35" s="81">
        <f>F34+(F34*assumptions!$B$26)</f>
        <v>109763.61587684222</v>
      </c>
      <c r="G35" s="93"/>
      <c r="H35" s="81">
        <f t="shared" si="10"/>
        <v>243126.40916720557</v>
      </c>
      <c r="I35" s="79"/>
      <c r="J35" s="94" t="str">
        <f>IF(AND(assumptions!$B$15&gt;0,assumptions!$B$16&gt;=30),(assumptions!$B$21*assumptions!$B$19)/assumptions!$B$16,"n/a")</f>
        <v>n/a</v>
      </c>
      <c r="K35" s="81">
        <f>E35*assumptions!$B$23</f>
        <v>23050.359334136861</v>
      </c>
      <c r="L35" s="93"/>
      <c r="M35" s="81">
        <f t="shared" si="11"/>
        <v>23050.359334136861</v>
      </c>
      <c r="N35" s="79"/>
      <c r="O35" s="79"/>
      <c r="P35" s="81">
        <f t="shared" si="12"/>
        <v>220076.04983306871</v>
      </c>
      <c r="Q35" s="79"/>
      <c r="R35" s="82">
        <f>NPV($D$37,P$4:P35)</f>
        <v>1992527.0810950815</v>
      </c>
      <c r="S35" s="29"/>
      <c r="T35" s="27"/>
    </row>
    <row r="36" spans="1:20" ht="15.75" customHeight="1" x14ac:dyDescent="0.25">
      <c r="B36" s="1"/>
      <c r="C36" s="1"/>
      <c r="D36" s="1"/>
      <c r="E36" s="1"/>
      <c r="F36" s="2"/>
      <c r="G36" s="1"/>
      <c r="H36" s="26"/>
      <c r="I36" s="14"/>
      <c r="J36" s="24"/>
      <c r="K36" s="14"/>
      <c r="L36" s="14"/>
      <c r="M36" s="26"/>
      <c r="N36" s="1"/>
      <c r="O36" s="1"/>
      <c r="P36" s="1"/>
      <c r="Q36" s="14"/>
    </row>
    <row r="37" spans="1:20" ht="15" customHeight="1" x14ac:dyDescent="0.25">
      <c r="A37" s="60" t="s">
        <v>77</v>
      </c>
      <c r="B37" s="58"/>
      <c r="C37" s="58"/>
      <c r="D37" s="59">
        <f>'CPI 10-yr'!O24</f>
        <v>2.4516537025741643E-2</v>
      </c>
      <c r="E37" s="58"/>
      <c r="F37" s="58"/>
      <c r="G37" s="61"/>
      <c r="H37" s="27"/>
      <c r="P37" s="27"/>
      <c r="Q37" s="27"/>
    </row>
    <row r="38" spans="1:20" ht="15" customHeight="1" x14ac:dyDescent="0.25">
      <c r="A38" s="62" t="s">
        <v>78</v>
      </c>
      <c r="B38" s="63"/>
      <c r="C38" s="63"/>
      <c r="D38" s="63"/>
      <c r="E38" s="63"/>
      <c r="F38" s="63"/>
      <c r="G38" s="64"/>
      <c r="J38" s="27"/>
    </row>
    <row r="39" spans="1:20" ht="15" customHeight="1" x14ac:dyDescent="0.25">
      <c r="F39" s="28"/>
    </row>
    <row r="40" spans="1:20" ht="15" customHeight="1" x14ac:dyDescent="0.25">
      <c r="F40" s="28"/>
    </row>
  </sheetData>
  <mergeCells count="4">
    <mergeCell ref="D2:F2"/>
    <mergeCell ref="J2:K2"/>
    <mergeCell ref="A3:B3"/>
    <mergeCell ref="P2:R2"/>
  </mergeCells>
  <pageMargins left="0.7" right="0.7" top="0.75" bottom="0.75" header="0.3" footer="0.3"/>
  <pageSetup orientation="portrait" r:id="rId1"/>
  <ignoredErrors>
    <ignoredError sqref="E27:E3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32" sqref="H32"/>
    </sheetView>
  </sheetViews>
  <sheetFormatPr defaultColWidth="17.28515625" defaultRowHeight="15" customHeight="1" x14ac:dyDescent="0.25"/>
  <cols>
    <col min="1" max="6" width="8.7109375" customWidth="1"/>
  </cols>
  <sheetData>
    <row r="1" spans="1:1" x14ac:dyDescent="0.25">
      <c r="A1" s="1" t="s">
        <v>0</v>
      </c>
    </row>
    <row r="2" spans="1:1" x14ac:dyDescent="0.25">
      <c r="A2" s="1" t="s">
        <v>2</v>
      </c>
    </row>
    <row r="3" spans="1:1" x14ac:dyDescent="0.25">
      <c r="A3" s="1" t="s">
        <v>3</v>
      </c>
    </row>
    <row r="4" spans="1:1" x14ac:dyDescent="0.25">
      <c r="A4" s="1" t="s">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pane ySplit="11" topLeftCell="A12" activePane="bottomLeft" state="frozen"/>
      <selection activeCell="H32" sqref="H32"/>
      <selection pane="bottomLeft" activeCell="H32" sqref="H32"/>
    </sheetView>
  </sheetViews>
  <sheetFormatPr defaultRowHeight="15" x14ac:dyDescent="0.25"/>
  <cols>
    <col min="1" max="1" width="20" style="41" customWidth="1"/>
    <col min="2" max="255" width="8" style="41" customWidth="1"/>
    <col min="256" max="16384" width="9.140625" style="41"/>
  </cols>
  <sheetData>
    <row r="1" spans="1:16" ht="15.75" x14ac:dyDescent="0.25">
      <c r="A1" s="157" t="s">
        <v>47</v>
      </c>
      <c r="B1" s="155"/>
      <c r="C1" s="155"/>
      <c r="D1" s="155"/>
      <c r="E1" s="155"/>
      <c r="F1" s="155"/>
    </row>
    <row r="2" spans="1:16" ht="15.75" x14ac:dyDescent="0.25">
      <c r="A2" s="157" t="s">
        <v>48</v>
      </c>
      <c r="B2" s="155"/>
      <c r="C2" s="155"/>
      <c r="D2" s="155"/>
      <c r="E2" s="155"/>
      <c r="F2" s="155"/>
    </row>
    <row r="3" spans="1:16" x14ac:dyDescent="0.25">
      <c r="A3" s="155"/>
      <c r="B3" s="155"/>
      <c r="C3" s="155"/>
      <c r="D3" s="155"/>
      <c r="E3" s="155"/>
      <c r="F3" s="155"/>
    </row>
    <row r="4" spans="1:16" x14ac:dyDescent="0.25">
      <c r="A4" s="42" t="s">
        <v>49</v>
      </c>
      <c r="B4" s="154" t="s">
        <v>50</v>
      </c>
      <c r="C4" s="155"/>
      <c r="D4" s="155"/>
      <c r="E4" s="155"/>
      <c r="F4" s="155"/>
    </row>
    <row r="5" spans="1:16" x14ac:dyDescent="0.25">
      <c r="A5" s="158" t="s">
        <v>51</v>
      </c>
      <c r="B5" s="155"/>
      <c r="C5" s="155"/>
      <c r="D5" s="155"/>
      <c r="E5" s="155"/>
      <c r="F5" s="155"/>
    </row>
    <row r="6" spans="1:16" x14ac:dyDescent="0.25">
      <c r="A6" s="42" t="s">
        <v>52</v>
      </c>
      <c r="B6" s="154" t="s">
        <v>53</v>
      </c>
      <c r="C6" s="155"/>
      <c r="D6" s="155"/>
      <c r="E6" s="155"/>
      <c r="F6" s="155"/>
    </row>
    <row r="7" spans="1:16" x14ac:dyDescent="0.25">
      <c r="A7" s="42" t="s">
        <v>54</v>
      </c>
      <c r="B7" s="154" t="s">
        <v>55</v>
      </c>
      <c r="C7" s="155"/>
      <c r="D7" s="155"/>
      <c r="E7" s="155"/>
      <c r="F7" s="155"/>
    </row>
    <row r="8" spans="1:16" x14ac:dyDescent="0.25">
      <c r="A8" s="42" t="s">
        <v>56</v>
      </c>
      <c r="B8" s="154" t="s">
        <v>57</v>
      </c>
      <c r="C8" s="155"/>
      <c r="D8" s="155"/>
      <c r="E8" s="155"/>
      <c r="F8" s="155"/>
    </row>
    <row r="9" spans="1:16" x14ac:dyDescent="0.25">
      <c r="A9" s="42" t="s">
        <v>58</v>
      </c>
      <c r="B9" s="156" t="s">
        <v>59</v>
      </c>
      <c r="C9" s="155"/>
      <c r="D9" s="155"/>
      <c r="E9" s="155"/>
      <c r="F9" s="155"/>
    </row>
    <row r="11" spans="1:16" ht="15.75" thickBot="1" x14ac:dyDescent="0.3">
      <c r="A11" s="43" t="s">
        <v>60</v>
      </c>
      <c r="B11" s="43" t="s">
        <v>61</v>
      </c>
      <c r="C11" s="43" t="s">
        <v>62</v>
      </c>
      <c r="D11" s="43" t="s">
        <v>63</v>
      </c>
      <c r="E11" s="43" t="s">
        <v>64</v>
      </c>
      <c r="F11" s="43" t="s">
        <v>65</v>
      </c>
      <c r="G11" s="43" t="s">
        <v>66</v>
      </c>
      <c r="H11" s="43" t="s">
        <v>67</v>
      </c>
      <c r="I11" s="43" t="s">
        <v>68</v>
      </c>
      <c r="J11" s="43" t="s">
        <v>69</v>
      </c>
      <c r="K11" s="43" t="s">
        <v>70</v>
      </c>
      <c r="L11" s="43" t="s">
        <v>71</v>
      </c>
      <c r="M11" s="43" t="s">
        <v>72</v>
      </c>
      <c r="N11" s="43" t="s">
        <v>73</v>
      </c>
      <c r="O11" s="43" t="s">
        <v>74</v>
      </c>
      <c r="P11" s="43" t="s">
        <v>75</v>
      </c>
    </row>
    <row r="12" spans="1:16" ht="15.75" thickTop="1" x14ac:dyDescent="0.25">
      <c r="A12" s="44">
        <v>2005</v>
      </c>
      <c r="C12" s="45">
        <v>201.2</v>
      </c>
      <c r="E12" s="45">
        <v>202.5</v>
      </c>
      <c r="G12" s="45">
        <v>201.2</v>
      </c>
      <c r="I12" s="45">
        <v>203</v>
      </c>
      <c r="K12" s="45">
        <v>205.9</v>
      </c>
      <c r="M12" s="45">
        <v>203.4</v>
      </c>
      <c r="N12" s="45">
        <v>202.7</v>
      </c>
      <c r="O12" s="45">
        <v>201.5</v>
      </c>
      <c r="P12" s="45">
        <v>203.9</v>
      </c>
    </row>
    <row r="13" spans="1:16" x14ac:dyDescent="0.25">
      <c r="A13" s="44">
        <v>2006</v>
      </c>
      <c r="C13" s="45">
        <v>207.1</v>
      </c>
      <c r="E13" s="45">
        <v>208.9</v>
      </c>
      <c r="G13" s="45">
        <v>209.1</v>
      </c>
      <c r="I13" s="45">
        <v>210.7</v>
      </c>
      <c r="K13" s="45">
        <v>211</v>
      </c>
      <c r="M13" s="45">
        <v>210.4</v>
      </c>
      <c r="N13" s="45">
        <v>209.2</v>
      </c>
      <c r="O13" s="45">
        <v>207.9</v>
      </c>
      <c r="P13" s="45">
        <v>210.6</v>
      </c>
    </row>
    <row r="14" spans="1:16" x14ac:dyDescent="0.25">
      <c r="A14" s="44">
        <v>2007</v>
      </c>
      <c r="C14" s="46">
        <v>213.68799999999999</v>
      </c>
      <c r="E14" s="46">
        <v>215.84200000000001</v>
      </c>
      <c r="G14" s="46">
        <v>216.12299999999999</v>
      </c>
      <c r="I14" s="46">
        <v>216.24</v>
      </c>
      <c r="K14" s="46">
        <v>217.94900000000001</v>
      </c>
      <c r="M14" s="46">
        <v>218.48500000000001</v>
      </c>
      <c r="N14" s="46">
        <v>216.048</v>
      </c>
      <c r="O14" s="46">
        <v>214.73599999999999</v>
      </c>
      <c r="P14" s="46">
        <v>217.36099999999999</v>
      </c>
    </row>
    <row r="15" spans="1:16" x14ac:dyDescent="0.25">
      <c r="A15" s="44">
        <v>2008</v>
      </c>
      <c r="C15" s="46">
        <v>219.61199999999999</v>
      </c>
      <c r="E15" s="46">
        <v>222.07400000000001</v>
      </c>
      <c r="G15" s="46">
        <v>225.18100000000001</v>
      </c>
      <c r="I15" s="46">
        <v>225.411</v>
      </c>
      <c r="K15" s="46">
        <v>225.82400000000001</v>
      </c>
      <c r="M15" s="46">
        <v>218.52799999999999</v>
      </c>
      <c r="N15" s="46">
        <v>222.767</v>
      </c>
      <c r="O15" s="46">
        <v>221.73</v>
      </c>
      <c r="P15" s="46">
        <v>223.804</v>
      </c>
    </row>
    <row r="16" spans="1:16" x14ac:dyDescent="0.25">
      <c r="A16" s="44">
        <v>2009</v>
      </c>
      <c r="C16" s="46">
        <v>222.166</v>
      </c>
      <c r="E16" s="46">
        <v>223.85400000000001</v>
      </c>
      <c r="G16" s="46">
        <v>225.69200000000001</v>
      </c>
      <c r="I16" s="46">
        <v>225.80099999999999</v>
      </c>
      <c r="K16" s="46">
        <v>226.05099999999999</v>
      </c>
      <c r="M16" s="46">
        <v>224.239</v>
      </c>
      <c r="N16" s="46">
        <v>224.39500000000001</v>
      </c>
      <c r="O16" s="46">
        <v>223.30500000000001</v>
      </c>
      <c r="P16" s="46">
        <v>225.48400000000001</v>
      </c>
    </row>
    <row r="17" spans="1:16" x14ac:dyDescent="0.25">
      <c r="A17" s="44">
        <v>2010</v>
      </c>
      <c r="C17" s="46">
        <v>226.14500000000001</v>
      </c>
      <c r="E17" s="46">
        <v>227.697</v>
      </c>
      <c r="G17" s="46">
        <v>228.11</v>
      </c>
      <c r="I17" s="46">
        <v>227.95400000000001</v>
      </c>
      <c r="K17" s="46">
        <v>228.107</v>
      </c>
      <c r="M17" s="46">
        <v>227.65799999999999</v>
      </c>
      <c r="N17" s="46">
        <v>227.46899999999999</v>
      </c>
      <c r="O17" s="46">
        <v>226.994</v>
      </c>
      <c r="P17" s="46">
        <v>227.94399999999999</v>
      </c>
    </row>
    <row r="18" spans="1:16" x14ac:dyDescent="0.25">
      <c r="A18" s="44">
        <v>2011</v>
      </c>
      <c r="C18" s="46">
        <v>229.98099999999999</v>
      </c>
      <c r="E18" s="46">
        <v>234.12100000000001</v>
      </c>
      <c r="G18" s="46">
        <v>233.64599999999999</v>
      </c>
      <c r="I18" s="46">
        <v>234.608</v>
      </c>
      <c r="K18" s="46">
        <v>235.33099999999999</v>
      </c>
      <c r="M18" s="46">
        <v>234.327</v>
      </c>
      <c r="N18" s="46">
        <v>233.39</v>
      </c>
      <c r="O18" s="46">
        <v>232.08199999999999</v>
      </c>
      <c r="P18" s="46">
        <v>234.69800000000001</v>
      </c>
    </row>
    <row r="19" spans="1:16" x14ac:dyDescent="0.25">
      <c r="A19" s="44">
        <v>2012</v>
      </c>
      <c r="C19" s="46">
        <v>236.88</v>
      </c>
      <c r="E19" s="46">
        <v>238.98500000000001</v>
      </c>
      <c r="G19" s="46">
        <v>239.80600000000001</v>
      </c>
      <c r="I19" s="46">
        <v>241.17</v>
      </c>
      <c r="K19" s="46">
        <v>242.834</v>
      </c>
      <c r="M19" s="46">
        <v>239.53299999999999</v>
      </c>
      <c r="N19" s="46">
        <v>239.65</v>
      </c>
      <c r="O19" s="46">
        <v>238.09899999999999</v>
      </c>
      <c r="P19" s="46">
        <v>241.20099999999999</v>
      </c>
    </row>
    <row r="20" spans="1:16" x14ac:dyDescent="0.25">
      <c r="A20" s="44">
        <v>2013</v>
      </c>
      <c r="C20" s="46">
        <v>242.67699999999999</v>
      </c>
      <c r="E20" s="46">
        <v>244.67500000000001</v>
      </c>
      <c r="G20" s="46">
        <v>245.935</v>
      </c>
      <c r="I20" s="46">
        <v>246.072</v>
      </c>
      <c r="K20" s="46">
        <v>246.61699999999999</v>
      </c>
      <c r="M20" s="46">
        <v>245.71100000000001</v>
      </c>
      <c r="N20" s="46">
        <v>245.023</v>
      </c>
      <c r="O20" s="46">
        <v>243.89400000000001</v>
      </c>
      <c r="P20" s="46">
        <v>246.15199999999999</v>
      </c>
    </row>
    <row r="21" spans="1:16" x14ac:dyDescent="0.25">
      <c r="A21" s="44">
        <v>2014</v>
      </c>
      <c r="C21" s="46">
        <v>248.61500000000001</v>
      </c>
      <c r="E21" s="46">
        <v>251.495</v>
      </c>
      <c r="G21" s="46">
        <v>253.31700000000001</v>
      </c>
      <c r="I21" s="46">
        <v>253.35400000000001</v>
      </c>
      <c r="K21" s="46">
        <v>254.50299999999999</v>
      </c>
      <c r="M21" s="46">
        <v>252.273</v>
      </c>
      <c r="N21" s="46">
        <v>251.98500000000001</v>
      </c>
      <c r="O21" s="46">
        <v>250.50700000000001</v>
      </c>
      <c r="P21" s="46">
        <v>253.46299999999999</v>
      </c>
    </row>
    <row r="22" spans="1:16" x14ac:dyDescent="0.25">
      <c r="A22" s="44">
        <v>2015</v>
      </c>
      <c r="C22" s="46">
        <v>254.91</v>
      </c>
      <c r="E22" s="46">
        <v>257.62200000000001</v>
      </c>
      <c r="G22" s="46">
        <v>259.11700000000002</v>
      </c>
      <c r="O22" s="46">
        <v>256.72300000000001</v>
      </c>
    </row>
    <row r="23" spans="1:16" x14ac:dyDescent="0.25">
      <c r="A23" s="44"/>
      <c r="C23" s="46"/>
      <c r="E23" s="46"/>
      <c r="G23" s="46"/>
      <c r="O23" s="46"/>
    </row>
    <row r="24" spans="1:16" x14ac:dyDescent="0.25">
      <c r="A24" s="47" t="s">
        <v>76</v>
      </c>
      <c r="B24" s="48"/>
      <c r="C24" s="48"/>
      <c r="D24" s="48"/>
      <c r="E24" s="48"/>
      <c r="F24" s="48"/>
      <c r="G24" s="48"/>
      <c r="H24" s="48"/>
      <c r="I24" s="48"/>
      <c r="J24" s="48"/>
      <c r="K24" s="48"/>
      <c r="L24" s="48"/>
      <c r="M24" s="48"/>
      <c r="N24" s="51">
        <f>RATE(A21-A12,,-N12,N21)</f>
        <v>2.4477268896868732E-2</v>
      </c>
      <c r="O24" s="49">
        <f>RATE(A22-A12,,-O12,O22)</f>
        <v>2.4516537025741643E-2</v>
      </c>
    </row>
    <row r="26" spans="1:16" x14ac:dyDescent="0.25">
      <c r="N26" s="50"/>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r:id="rId1"/>
  <headerFooter>
    <oddHeader>&amp;CBureau of Labor Statistics</oddHeader>
    <oddFooter>&amp;LSource: Bureau of Labor Statistics&amp;RGenerated on: September 3, 2015 (04:24:17 PM)</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B328D3-7616-485B-9328-1B839C220854}"/>
</file>

<file path=customXml/itemProps2.xml><?xml version="1.0" encoding="utf-8"?>
<ds:datastoreItem xmlns:ds="http://schemas.openxmlformats.org/officeDocument/2006/customXml" ds:itemID="{5A56E7AA-28F1-4D18-8751-69605440F51D}"/>
</file>

<file path=customXml/itemProps3.xml><?xml version="1.0" encoding="utf-8"?>
<ds:datastoreItem xmlns:ds="http://schemas.openxmlformats.org/officeDocument/2006/customXml" ds:itemID="{D089C444-8D52-46F7-B01E-56A96ECDF4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assumptions</vt:lpstr>
      <vt:lpstr>break-even sum</vt:lpstr>
      <vt:lpstr>benefit_cost detail</vt:lpstr>
      <vt:lpstr>payment frequency</vt:lpstr>
      <vt:lpstr>CPI 10-yr</vt:lpstr>
      <vt:lpstr>assumptions!Z_4F8E946C_576B_4F5C_9A70_E90BD55E70A4_.wvu.PrintArea</vt:lpstr>
      <vt:lpstr>'benefit_cost detail'!Z_4F8E946C_576B_4F5C_9A70_E90BD55E70A4_.wvu.PrintArea</vt:lpstr>
      <vt:lpstr>'break-even sum'!Z_4F8E946C_576B_4F5C_9A70_E90BD55E70A4_.wvu.PrintArea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Kimia Haddadan</dc:creator>
  <cp:lastModifiedBy>Kimia Haddadan</cp:lastModifiedBy>
  <dcterms:created xsi:type="dcterms:W3CDTF">2015-05-05T23:46:42Z</dcterms:created>
  <dcterms:modified xsi:type="dcterms:W3CDTF">2015-10-09T23:34:38Z</dcterms:modified>
</cp:coreProperties>
</file>